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Doktorat\Młodzi_KES_2018_strategiczne opcje i trendy\Młodzi KES 2018 - recenzje\Baza_empiryczna\"/>
    </mc:Choice>
  </mc:AlternateContent>
  <xr:revisionPtr revIDLastSave="0" documentId="13_ncr:1_{07C82361-76E1-4DE8-9DD6-222029A29CB7}" xr6:coauthVersionLast="45" xr6:coauthVersionMax="45" xr10:uidLastSave="{00000000-0000-0000-0000-000000000000}"/>
  <bookViews>
    <workbookView xWindow="-120" yWindow="-120" windowWidth="20730" windowHeight="11160" firstSheet="1" activeTab="2" xr2:uid="{2CFEAEB3-66F3-4F3B-901B-707011E92244}"/>
  </bookViews>
  <sheets>
    <sheet name="Bankier.pl" sheetId="1" state="hidden" r:id="rId1"/>
    <sheet name="Sfera cyfrowa i finansowa" sheetId="3" r:id="rId2"/>
    <sheet name="Regresja i wykresy" sheetId="4" r:id="rId3"/>
    <sheet name="CERT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3" l="1"/>
  <c r="K12" i="3"/>
  <c r="H12" i="3"/>
  <c r="G15" i="3"/>
  <c r="G14" i="3"/>
  <c r="G13" i="3"/>
  <c r="G12" i="3"/>
  <c r="F15" i="3"/>
  <c r="F14" i="3"/>
  <c r="F13" i="3"/>
  <c r="F12" i="3"/>
  <c r="E15" i="3"/>
  <c r="E14" i="3"/>
  <c r="E13" i="3"/>
  <c r="E12" i="3"/>
  <c r="D15" i="3"/>
  <c r="D14" i="3"/>
  <c r="C15" i="3"/>
  <c r="C14" i="3"/>
  <c r="D13" i="3"/>
  <c r="D12" i="3"/>
  <c r="C13" i="3"/>
  <c r="C12" i="3"/>
  <c r="E39" i="3"/>
  <c r="D39" i="3"/>
  <c r="C39" i="3"/>
  <c r="B83" i="4" l="1"/>
  <c r="B50" i="4"/>
  <c r="F3" i="4"/>
  <c r="F4" i="4"/>
  <c r="F5" i="4"/>
  <c r="F6" i="4"/>
  <c r="F7" i="4"/>
  <c r="F2" i="4"/>
  <c r="H5" i="3"/>
  <c r="H11" i="3" s="1"/>
  <c r="H19" i="3" s="1"/>
  <c r="M22" i="3"/>
  <c r="N1" i="3"/>
  <c r="M1" i="3"/>
  <c r="L1" i="3"/>
  <c r="K1" i="3"/>
  <c r="B19" i="3" l="1"/>
  <c r="D11" i="3"/>
  <c r="E11" i="3"/>
  <c r="L11" i="3" s="1"/>
  <c r="F11" i="3"/>
  <c r="M11" i="3" s="1"/>
  <c r="G11" i="3"/>
  <c r="C11" i="3"/>
  <c r="C19" i="3" s="1"/>
  <c r="D29" i="3"/>
  <c r="E29" i="3"/>
  <c r="L29" i="3" s="1"/>
  <c r="F29" i="3"/>
  <c r="M29" i="3" s="1"/>
  <c r="G29" i="3"/>
  <c r="N29" i="3" s="1"/>
  <c r="C29" i="3"/>
  <c r="O29" i="3" l="1"/>
  <c r="D19" i="3"/>
  <c r="K19" i="3" s="1"/>
  <c r="K11" i="3"/>
  <c r="G19" i="3"/>
  <c r="N19" i="3" s="1"/>
  <c r="N11" i="3"/>
  <c r="F19" i="3"/>
  <c r="M19" i="3" s="1"/>
  <c r="E19" i="3"/>
  <c r="L19" i="3" s="1"/>
  <c r="L5" i="3"/>
  <c r="M5" i="3"/>
  <c r="N5" i="3"/>
  <c r="K5" i="3"/>
  <c r="K6" i="3"/>
  <c r="N21" i="3"/>
  <c r="H21" i="3" s="1"/>
  <c r="N20" i="3"/>
  <c r="M20" i="3"/>
  <c r="N23" i="3"/>
  <c r="M23" i="3"/>
  <c r="L23" i="3"/>
  <c r="N24" i="3"/>
  <c r="M24" i="3"/>
  <c r="L24" i="3"/>
  <c r="N25" i="3"/>
  <c r="M25" i="3"/>
  <c r="L25" i="3"/>
  <c r="K25" i="3"/>
  <c r="N22" i="3"/>
  <c r="N9" i="3"/>
  <c r="M9" i="3"/>
  <c r="L9" i="3"/>
  <c r="K9" i="3"/>
  <c r="G17" i="3"/>
  <c r="F17" i="3"/>
  <c r="F31" i="3" s="1"/>
  <c r="E17" i="3"/>
  <c r="D17" i="3"/>
  <c r="D31" i="3" s="1"/>
  <c r="C17" i="3"/>
  <c r="G16" i="3"/>
  <c r="F16" i="3"/>
  <c r="E16" i="3"/>
  <c r="D16" i="3"/>
  <c r="C16" i="3"/>
  <c r="N15" i="3"/>
  <c r="M15" i="3"/>
  <c r="L15" i="3"/>
  <c r="K15" i="3"/>
  <c r="G30" i="3"/>
  <c r="F30" i="3"/>
  <c r="E30" i="3"/>
  <c r="D30" i="3"/>
  <c r="N14" i="3"/>
  <c r="M14" i="3"/>
  <c r="L14" i="3"/>
  <c r="K14" i="3"/>
  <c r="N12" i="3"/>
  <c r="M12" i="3"/>
  <c r="L12" i="3"/>
  <c r="N13" i="3"/>
  <c r="M13" i="3"/>
  <c r="L13" i="3"/>
  <c r="K13" i="3"/>
  <c r="M8" i="3"/>
  <c r="L8" i="3"/>
  <c r="K8" i="3"/>
  <c r="N3" i="3"/>
  <c r="M3" i="3"/>
  <c r="L3" i="3"/>
  <c r="K3" i="3"/>
  <c r="N2" i="3"/>
  <c r="M2" i="3"/>
  <c r="L2" i="3"/>
  <c r="K2" i="3"/>
  <c r="M7" i="3"/>
  <c r="L7" i="3"/>
  <c r="K7" i="3"/>
  <c r="M6" i="3"/>
  <c r="L6" i="3"/>
  <c r="L19" i="1"/>
  <c r="K19" i="1"/>
  <c r="J19" i="1"/>
  <c r="I19" i="1"/>
  <c r="N16" i="3" l="1"/>
  <c r="L30" i="3"/>
  <c r="L22" i="3"/>
  <c r="H22" i="3" s="1"/>
  <c r="N30" i="3"/>
  <c r="I30" i="3"/>
  <c r="H30" i="3"/>
  <c r="M30" i="3"/>
  <c r="M19" i="1"/>
  <c r="G19" i="1" s="1"/>
  <c r="H14" i="3"/>
  <c r="E4" i="4" s="1"/>
  <c r="L17" i="3"/>
  <c r="H23" i="3"/>
  <c r="H20" i="3"/>
  <c r="D32" i="3"/>
  <c r="K17" i="3"/>
  <c r="H8" i="3"/>
  <c r="G32" i="3"/>
  <c r="H24" i="3"/>
  <c r="E32" i="3"/>
  <c r="H9" i="3"/>
  <c r="H6" i="3"/>
  <c r="M17" i="3"/>
  <c r="H2" i="3"/>
  <c r="H3" i="3"/>
  <c r="H13" i="3"/>
  <c r="E3" i="4" s="1"/>
  <c r="H15" i="3"/>
  <c r="E5" i="4" s="1"/>
  <c r="E31" i="3"/>
  <c r="L31" i="3" s="1"/>
  <c r="H7" i="3"/>
  <c r="L16" i="3"/>
  <c r="H25" i="3"/>
  <c r="M16" i="3"/>
  <c r="N17" i="3"/>
  <c r="F32" i="3"/>
  <c r="M32" i="3" s="1"/>
  <c r="G31" i="3"/>
  <c r="N31" i="3" s="1"/>
  <c r="K16" i="3"/>
  <c r="F13" i="1"/>
  <c r="E13" i="1"/>
  <c r="D13" i="1"/>
  <c r="C13" i="1"/>
  <c r="D11" i="1"/>
  <c r="E11" i="1"/>
  <c r="F11" i="1"/>
  <c r="C11" i="1"/>
  <c r="I4" i="1"/>
  <c r="M4" i="1" s="1"/>
  <c r="G4" i="1" s="1"/>
  <c r="I5" i="1"/>
  <c r="K5" i="1"/>
  <c r="J5" i="1"/>
  <c r="M5" i="1"/>
  <c r="G5" i="1" s="1"/>
  <c r="K4" i="1"/>
  <c r="J4" i="1"/>
  <c r="I8" i="1"/>
  <c r="M8" i="1" s="1"/>
  <c r="G8" i="1" s="1"/>
  <c r="J8" i="1"/>
  <c r="K8" i="1"/>
  <c r="H45" i="1"/>
  <c r="C27" i="1" s="1"/>
  <c r="I9" i="1"/>
  <c r="J9" i="1"/>
  <c r="K9" i="1"/>
  <c r="L9" i="1"/>
  <c r="I10" i="1"/>
  <c r="J10" i="1"/>
  <c r="K10" i="1"/>
  <c r="L10" i="1"/>
  <c r="I12" i="1"/>
  <c r="J12" i="1"/>
  <c r="K12" i="1"/>
  <c r="L12" i="1"/>
  <c r="I14" i="1"/>
  <c r="J14" i="1"/>
  <c r="K14" i="1"/>
  <c r="L14" i="1"/>
  <c r="C16" i="1"/>
  <c r="C17" i="1" s="1"/>
  <c r="D16" i="1"/>
  <c r="D17" i="1" s="1"/>
  <c r="E16" i="1"/>
  <c r="E17" i="1" s="1"/>
  <c r="F16" i="1"/>
  <c r="F17" i="1" s="1"/>
  <c r="B16" i="1"/>
  <c r="I3" i="2"/>
  <c r="J3" i="2"/>
  <c r="K3" i="2"/>
  <c r="L3" i="2"/>
  <c r="I4" i="2"/>
  <c r="J4" i="2"/>
  <c r="K4" i="2"/>
  <c r="L4" i="2"/>
  <c r="M4" i="2"/>
  <c r="G4" i="2" s="1"/>
  <c r="I5" i="2"/>
  <c r="J5" i="2"/>
  <c r="K5" i="2"/>
  <c r="M5" i="2" s="1"/>
  <c r="G5" i="2" s="1"/>
  <c r="L5" i="2"/>
  <c r="L2" i="2"/>
  <c r="K2" i="2"/>
  <c r="K1" i="2"/>
  <c r="L1" i="2"/>
  <c r="H1" i="2"/>
  <c r="I1" i="2"/>
  <c r="J1" i="2"/>
  <c r="J2" i="2"/>
  <c r="M2" i="2" s="1"/>
  <c r="G2" i="2" s="1"/>
  <c r="I2" i="2"/>
  <c r="K21" i="1"/>
  <c r="L21" i="1"/>
  <c r="I22" i="1"/>
  <c r="J22" i="1"/>
  <c r="K22" i="1"/>
  <c r="L22" i="1"/>
  <c r="J23" i="1"/>
  <c r="K23" i="1"/>
  <c r="L23" i="1"/>
  <c r="J24" i="1"/>
  <c r="K24" i="1"/>
  <c r="L24" i="1"/>
  <c r="I25" i="1"/>
  <c r="J25" i="1"/>
  <c r="K25" i="1"/>
  <c r="L25" i="1"/>
  <c r="M25" i="1"/>
  <c r="G25" i="1" s="1"/>
  <c r="I26" i="1"/>
  <c r="J26" i="1"/>
  <c r="K26" i="1"/>
  <c r="L26" i="1"/>
  <c r="M26" i="1"/>
  <c r="G26" i="1" s="1"/>
  <c r="K27" i="1"/>
  <c r="L27" i="1"/>
  <c r="L28" i="1"/>
  <c r="M28" i="1" s="1"/>
  <c r="G28" i="1" s="1"/>
  <c r="L20" i="1"/>
  <c r="K20" i="1"/>
  <c r="J20" i="1"/>
  <c r="I20" i="1"/>
  <c r="I7" i="1"/>
  <c r="J7" i="1"/>
  <c r="M7" i="1" s="1"/>
  <c r="G7" i="1" s="1"/>
  <c r="K7" i="1"/>
  <c r="L7" i="1"/>
  <c r="L6" i="1"/>
  <c r="K6" i="1"/>
  <c r="J6" i="1"/>
  <c r="I6" i="1"/>
  <c r="M6" i="1" s="1"/>
  <c r="G6" i="1" s="1"/>
  <c r="P34" i="1"/>
  <c r="O34" i="1"/>
  <c r="C21" i="1" s="1"/>
  <c r="J21" i="1" s="1"/>
  <c r="O21" i="1"/>
  <c r="C15" i="1"/>
  <c r="C18" i="1" s="1"/>
  <c r="D15" i="1"/>
  <c r="D18" i="1" s="1"/>
  <c r="E15" i="1"/>
  <c r="E18" i="1" s="1"/>
  <c r="K18" i="1" s="1"/>
  <c r="F15" i="1"/>
  <c r="B15" i="1"/>
  <c r="O30" i="3" l="1"/>
  <c r="E2" i="4"/>
  <c r="L15" i="1"/>
  <c r="J17" i="1"/>
  <c r="I15" i="1"/>
  <c r="L32" i="3"/>
  <c r="M31" i="3"/>
  <c r="O31" i="3" s="1"/>
  <c r="H32" i="3"/>
  <c r="I32" i="3"/>
  <c r="J18" i="1"/>
  <c r="M3" i="2"/>
  <c r="G3" i="2" s="1"/>
  <c r="L16" i="1"/>
  <c r="K15" i="1"/>
  <c r="N32" i="3"/>
  <c r="H31" i="3"/>
  <c r="J15" i="1"/>
  <c r="I31" i="3"/>
  <c r="H16" i="3"/>
  <c r="E6" i="4" s="1"/>
  <c r="H17" i="3"/>
  <c r="E7" i="4" s="1"/>
  <c r="K17" i="1"/>
  <c r="K16" i="1"/>
  <c r="J16" i="1"/>
  <c r="M10" i="1"/>
  <c r="G10" i="1" s="1"/>
  <c r="F18" i="1"/>
  <c r="L18" i="1" s="1"/>
  <c r="M18" i="1" s="1"/>
  <c r="M27" i="1"/>
  <c r="G27" i="1" s="1"/>
  <c r="M24" i="1"/>
  <c r="G24" i="1" s="1"/>
  <c r="I16" i="1"/>
  <c r="M20" i="1"/>
  <c r="G20" i="1" s="1"/>
  <c r="L17" i="1"/>
  <c r="M17" i="1" s="1"/>
  <c r="M15" i="1"/>
  <c r="G15" i="1" s="1"/>
  <c r="M14" i="1"/>
  <c r="G14" i="1" s="1"/>
  <c r="M12" i="1"/>
  <c r="G12" i="1" s="1"/>
  <c r="M9" i="1"/>
  <c r="G9" i="1" s="1"/>
  <c r="M22" i="1"/>
  <c r="G22" i="1" s="1"/>
  <c r="M21" i="1"/>
  <c r="G21" i="1" s="1"/>
  <c r="M23" i="1"/>
  <c r="G23" i="1" s="1"/>
  <c r="O32" i="3" l="1"/>
  <c r="H33" i="3"/>
  <c r="C37" i="3"/>
  <c r="D37" i="3"/>
  <c r="C40" i="3"/>
  <c r="E37" i="3"/>
  <c r="D40" i="3"/>
  <c r="M16" i="1"/>
  <c r="G16" i="1" s="1"/>
  <c r="E40" i="3" l="1"/>
</calcChain>
</file>

<file path=xl/sharedStrings.xml><?xml version="1.0" encoding="utf-8"?>
<sst xmlns="http://schemas.openxmlformats.org/spreadsheetml/2006/main" count="188" uniqueCount="112">
  <si>
    <t>Liczba etatów w bankach</t>
  </si>
  <si>
    <t>Liczba placówek własnych</t>
  </si>
  <si>
    <t>Przychody</t>
  </si>
  <si>
    <t>Zysk netto</t>
  </si>
  <si>
    <t>ROE</t>
  </si>
  <si>
    <t>Wartość aktywów</t>
  </si>
  <si>
    <t>CAGR</t>
  </si>
  <si>
    <t>Liczba aktywnych użytkowników bankowości mobilnej</t>
  </si>
  <si>
    <t>Liczba lokat założonych przez aplikację mobilną</t>
  </si>
  <si>
    <t>Liczba klientów indywidualnych, którzy przynajmniej raz w miesiącu
logują się do ROR-u za pomocą bankowości internetowej</t>
  </si>
  <si>
    <t>Liczba aktywnych użytkowników
aplikacji mobilnej na telefon
komórkowy</t>
  </si>
  <si>
    <t>Wartość kapitałów własnych</t>
  </si>
  <si>
    <t>Liczba aktywnych użytkowników aplikacji mobilnej na telefon komórkowy</t>
  </si>
  <si>
    <t>Liczba transakcji finansowych wykonanych z poziomu aplikacji mobilnej</t>
  </si>
  <si>
    <t>Liczba klientów „mobile only”</t>
  </si>
  <si>
    <t>Phishing</t>
  </si>
  <si>
    <t>Liczba incydentów obsłużonych ręcznie przez CERT Polska</t>
  </si>
  <si>
    <t>Bankowość</t>
  </si>
  <si>
    <t>Oszustwa komputerowe</t>
  </si>
  <si>
    <t>ROA</t>
  </si>
  <si>
    <t>Liczba oddziałów - banki ogółem</t>
  </si>
  <si>
    <t>Liczba użytkowników bankowości mobilnej, którzy minimum raz w miesiącu logują się do banku z poziomu urządzenia mobilnego</t>
  </si>
  <si>
    <t>Liczba klientów indywidualnych mających podpisaną umowę umożliwiającą korzystanie z bankowości internetowej (nie tylko ROR)</t>
  </si>
  <si>
    <t>Liczba zatrudnionych w polskim sektorze bankowym</t>
  </si>
  <si>
    <t>w tym w centralach</t>
  </si>
  <si>
    <t>G (umiarkowana strategia finansowania)</t>
  </si>
  <si>
    <t>g (konserwatywna strategia finansowania)</t>
  </si>
  <si>
    <t>zmiana</t>
  </si>
  <si>
    <t>Liczba klientów ogółem</t>
  </si>
  <si>
    <t>Liczba klientów indywidualnych, którzy przynajmniej raz w miesiącu logują się do ROR-u za pomocą bankowości internetowej</t>
  </si>
  <si>
    <t>Zysk netto (mln zł)</t>
  </si>
  <si>
    <t>Sfera
 finansowa</t>
  </si>
  <si>
    <t>Sfera cyfrowa</t>
  </si>
  <si>
    <t>Ogólny 
obraz sektora</t>
  </si>
  <si>
    <t>Rzeczywista zmiana przychodów  (t1-t0)</t>
  </si>
  <si>
    <t>Średnia</t>
  </si>
  <si>
    <t>Odchylenie standardowe (SD)</t>
  </si>
  <si>
    <t>SD</t>
  </si>
  <si>
    <t>Pozycja</t>
  </si>
  <si>
    <r>
      <t xml:space="preserve">Współczynnik korelacji Pearson </t>
    </r>
    <r>
      <rPr>
        <i/>
        <sz val="11"/>
        <rFont val="Calibri"/>
        <family val="2"/>
        <charset val="238"/>
        <scheme val="minor"/>
      </rPr>
      <t>r</t>
    </r>
  </si>
  <si>
    <t>Sfera finansowa</t>
  </si>
  <si>
    <t>x</t>
  </si>
  <si>
    <t>y</t>
  </si>
  <si>
    <t>PODSUMOWANIE - WYJŚCIE</t>
  </si>
  <si>
    <t>Statystyki regresji</t>
  </si>
  <si>
    <t>Wielokrotność R</t>
  </si>
  <si>
    <t>R kwadrat</t>
  </si>
  <si>
    <t>Dopasowany R kwadrat</t>
  </si>
  <si>
    <t>Błąd standardowy</t>
  </si>
  <si>
    <t>Obserwacje</t>
  </si>
  <si>
    <t>ANALIZA WARIANCJI</t>
  </si>
  <si>
    <t>Regresja</t>
  </si>
  <si>
    <t>Resztkowy</t>
  </si>
  <si>
    <t>Razem</t>
  </si>
  <si>
    <t>Przecięcie</t>
  </si>
  <si>
    <t>df</t>
  </si>
  <si>
    <t>SS</t>
  </si>
  <si>
    <t>MS</t>
  </si>
  <si>
    <t>F</t>
  </si>
  <si>
    <t>Istotność F</t>
  </si>
  <si>
    <t>Współczynniki</t>
  </si>
  <si>
    <t>t Stat</t>
  </si>
  <si>
    <t>Wartość-p</t>
  </si>
  <si>
    <t>Dolne 95%</t>
  </si>
  <si>
    <t>Górne 95%</t>
  </si>
  <si>
    <t>Dolne 95,0%</t>
  </si>
  <si>
    <t>Górne 95,0%</t>
  </si>
  <si>
    <t>SKŁADNIKI RESZTOWE - WYJŚCIE</t>
  </si>
  <si>
    <t>Obserwacja</t>
  </si>
  <si>
    <t>Przewidywane Sfera cyfrowa</t>
  </si>
  <si>
    <t>Składniki resztowe</t>
  </si>
  <si>
    <t>Przewidywane Sfera
 finansowa</t>
  </si>
  <si>
    <t>Rozkład t. odr.</t>
  </si>
  <si>
    <t>r</t>
  </si>
  <si>
    <r>
      <t>R</t>
    </r>
    <r>
      <rPr>
        <i/>
        <vertAlign val="superscript"/>
        <sz val="11"/>
        <rFont val="Calibri"/>
        <family val="2"/>
        <charset val="238"/>
        <scheme val="minor"/>
      </rPr>
      <t>2</t>
    </r>
  </si>
  <si>
    <t>Test T (Fishera)</t>
  </si>
  <si>
    <t>Wartość</t>
  </si>
  <si>
    <t>Sx</t>
  </si>
  <si>
    <t>Vx</t>
  </si>
  <si>
    <r>
      <t xml:space="preserve">Współczynik zmienności </t>
    </r>
    <r>
      <rPr>
        <i/>
        <sz val="11"/>
        <rFont val="Calibri"/>
        <family val="2"/>
        <charset val="238"/>
        <scheme val="minor"/>
      </rPr>
      <t>(Vx)</t>
    </r>
  </si>
  <si>
    <t>Sfera finansowa (CAGR)</t>
  </si>
  <si>
    <t>Sfera cyfrowa (CAGR)</t>
  </si>
  <si>
    <t>Wykres nr 1.</t>
  </si>
  <si>
    <t>Wykres nr 2.</t>
  </si>
  <si>
    <t>Wartość kapitałów własnych (mld zł)</t>
  </si>
  <si>
    <t>Wartość aktywów (mld zł)</t>
  </si>
  <si>
    <t>Przychody (mld zł)</t>
  </si>
  <si>
    <t>SF1</t>
  </si>
  <si>
    <t>SF2</t>
  </si>
  <si>
    <t>SF3</t>
  </si>
  <si>
    <t>SF4</t>
  </si>
  <si>
    <t>SC1</t>
  </si>
  <si>
    <t>SC2</t>
  </si>
  <si>
    <t>SC3</t>
  </si>
  <si>
    <t>SC4</t>
  </si>
  <si>
    <t>SC5</t>
  </si>
  <si>
    <t>SC6</t>
  </si>
  <si>
    <t xml:space="preserve">     
SF5</t>
  </si>
  <si>
    <t xml:space="preserve">     
SF6</t>
  </si>
  <si>
    <t>Największy(1)</t>
  </si>
  <si>
    <t>Najmniejszy(1)</t>
  </si>
  <si>
    <t>Poziom ufności(95,0%)</t>
  </si>
  <si>
    <t>Mediana</t>
  </si>
  <si>
    <t>Odchylenie standardowe</t>
  </si>
  <si>
    <t>Wariancja próbki</t>
  </si>
  <si>
    <t>Kurtoza</t>
  </si>
  <si>
    <t>Skośność</t>
  </si>
  <si>
    <t>Zakres</t>
  </si>
  <si>
    <t>Minimum</t>
  </si>
  <si>
    <t>Maksimum</t>
  </si>
  <si>
    <t>Suma</t>
  </si>
  <si>
    <t>Licznik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</si>
</sst>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0\ _z_ł_-;\-* #,##0.00\ _z_ł_-;_-* &quot;-&quot;??\ _z_ł_-;_-@_-"/>
    <numFmt numFmtId="167" formatCode="0.0000"/>
    <numFmt numFmtId="168" formatCode="_-* #,##0.0000_-;\-* #,##0.00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3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2" fillId="2" borderId="0" xfId="0" applyFont="1" applyFill="1"/>
    <xf numFmtId="164" fontId="2" fillId="0" borderId="0" xfId="1" applyNumberFormat="1" applyFont="1"/>
    <xf numFmtId="9" fontId="0" fillId="2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9" fontId="2" fillId="0" borderId="0" xfId="1" applyFont="1"/>
    <xf numFmtId="164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164" fontId="3" fillId="0" borderId="0" xfId="1" applyNumberFormat="1" applyFont="1"/>
    <xf numFmtId="9" fontId="3" fillId="0" borderId="0" xfId="1" applyFont="1"/>
    <xf numFmtId="164" fontId="3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/>
    <xf numFmtId="164" fontId="4" fillId="0" borderId="0" xfId="1" applyNumberFormat="1" applyFont="1"/>
    <xf numFmtId="165" fontId="2" fillId="0" borderId="0" xfId="2" applyNumberFormat="1" applyFont="1"/>
    <xf numFmtId="43" fontId="0" fillId="0" borderId="0" xfId="2" applyFont="1"/>
    <xf numFmtId="165" fontId="0" fillId="0" borderId="0" xfId="0" applyNumberFormat="1"/>
    <xf numFmtId="0" fontId="0" fillId="3" borderId="0" xfId="0" applyFill="1"/>
    <xf numFmtId="0" fontId="0" fillId="3" borderId="1" xfId="0" applyFill="1" applyBorder="1"/>
    <xf numFmtId="0" fontId="0" fillId="3" borderId="2" xfId="0" applyFill="1" applyBorder="1"/>
    <xf numFmtId="0" fontId="3" fillId="3" borderId="2" xfId="0" applyFont="1" applyFill="1" applyBorder="1" applyAlignment="1">
      <alignment horizontal="center"/>
    </xf>
    <xf numFmtId="0" fontId="5" fillId="0" borderId="0" xfId="0" applyFont="1"/>
    <xf numFmtId="0" fontId="5" fillId="3" borderId="2" xfId="0" applyFont="1" applyFill="1" applyBorder="1"/>
    <xf numFmtId="10" fontId="6" fillId="3" borderId="2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3" fontId="5" fillId="0" borderId="0" xfId="0" applyNumberFormat="1" applyFont="1"/>
    <xf numFmtId="10" fontId="6" fillId="0" borderId="0" xfId="0" applyNumberFormat="1" applyFont="1" applyAlignment="1">
      <alignment horizontal="right"/>
    </xf>
    <xf numFmtId="164" fontId="5" fillId="0" borderId="0" xfId="1" applyNumberFormat="1" applyFont="1"/>
    <xf numFmtId="9" fontId="5" fillId="0" borderId="0" xfId="1" applyFont="1"/>
    <xf numFmtId="0" fontId="6" fillId="0" borderId="0" xfId="0" applyFont="1"/>
    <xf numFmtId="164" fontId="6" fillId="0" borderId="0" xfId="1" applyNumberFormat="1" applyFont="1"/>
    <xf numFmtId="9" fontId="6" fillId="0" borderId="0" xfId="1" applyFont="1"/>
    <xf numFmtId="165" fontId="5" fillId="0" borderId="0" xfId="2" applyNumberFormat="1" applyFont="1"/>
    <xf numFmtId="165" fontId="5" fillId="2" borderId="0" xfId="2" applyNumberFormat="1" applyFont="1" applyFill="1"/>
    <xf numFmtId="9" fontId="5" fillId="3" borderId="0" xfId="1" applyFont="1" applyFill="1"/>
    <xf numFmtId="0" fontId="5" fillId="0" borderId="1" xfId="0" applyFont="1" applyBorder="1"/>
    <xf numFmtId="165" fontId="5" fillId="0" borderId="1" xfId="2" applyNumberFormat="1" applyFont="1" applyBorder="1"/>
    <xf numFmtId="10" fontId="6" fillId="0" borderId="1" xfId="0" applyNumberFormat="1" applyFont="1" applyBorder="1" applyAlignment="1">
      <alignment horizontal="right"/>
    </xf>
    <xf numFmtId="164" fontId="5" fillId="0" borderId="1" xfId="1" applyNumberFormat="1" applyFont="1" applyBorder="1"/>
    <xf numFmtId="9" fontId="5" fillId="0" borderId="1" xfId="1" applyFont="1" applyBorder="1"/>
    <xf numFmtId="0" fontId="5" fillId="0" borderId="0" xfId="0" applyFont="1" applyAlignment="1">
      <alignment vertical="center" textRotation="90"/>
    </xf>
    <xf numFmtId="10" fontId="5" fillId="0" borderId="0" xfId="1" applyNumberFormat="1" applyFont="1"/>
    <xf numFmtId="10" fontId="5" fillId="0" borderId="1" xfId="1" applyNumberFormat="1" applyFont="1" applyBorder="1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wrapText="1"/>
    </xf>
    <xf numFmtId="165" fontId="5" fillId="3" borderId="0" xfId="2" applyNumberFormat="1" applyFont="1" applyFill="1"/>
    <xf numFmtId="164" fontId="5" fillId="3" borderId="0" xfId="1" applyNumberFormat="1" applyFont="1" applyFill="1"/>
    <xf numFmtId="0" fontId="5" fillId="0" borderId="0" xfId="0" applyFont="1" applyBorder="1"/>
    <xf numFmtId="165" fontId="5" fillId="3" borderId="0" xfId="2" applyNumberFormat="1" applyFont="1" applyFill="1" applyBorder="1"/>
    <xf numFmtId="165" fontId="5" fillId="0" borderId="0" xfId="2" applyNumberFormat="1" applyFont="1" applyBorder="1"/>
    <xf numFmtId="10" fontId="6" fillId="0" borderId="0" xfId="0" applyNumberFormat="1" applyFont="1" applyBorder="1" applyAlignment="1">
      <alignment horizontal="right"/>
    </xf>
    <xf numFmtId="164" fontId="5" fillId="3" borderId="0" xfId="1" applyNumberFormat="1" applyFont="1" applyFill="1" applyBorder="1"/>
    <xf numFmtId="9" fontId="5" fillId="0" borderId="0" xfId="1" applyFont="1" applyBorder="1"/>
    <xf numFmtId="0" fontId="5" fillId="0" borderId="2" xfId="0" applyFont="1" applyBorder="1" applyAlignment="1">
      <alignment wrapText="1"/>
    </xf>
    <xf numFmtId="43" fontId="5" fillId="0" borderId="0" xfId="2" applyFont="1" applyFill="1" applyBorder="1"/>
    <xf numFmtId="43" fontId="6" fillId="0" borderId="0" xfId="2" applyFont="1" applyFill="1" applyBorder="1" applyAlignment="1">
      <alignment horizontal="right"/>
    </xf>
    <xf numFmtId="9" fontId="5" fillId="0" borderId="0" xfId="1" applyFont="1" applyAlignment="1">
      <alignment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/>
    </xf>
    <xf numFmtId="0" fontId="6" fillId="3" borderId="2" xfId="0" applyFont="1" applyFill="1" applyBorder="1" applyAlignment="1">
      <alignment horizontal="right"/>
    </xf>
    <xf numFmtId="3" fontId="5" fillId="3" borderId="0" xfId="0" applyNumberFormat="1" applyFont="1" applyFill="1"/>
    <xf numFmtId="10" fontId="6" fillId="0" borderId="0" xfId="1" applyNumberFormat="1" applyFont="1"/>
    <xf numFmtId="10" fontId="6" fillId="0" borderId="0" xfId="1" applyNumberFormat="1" applyFont="1" applyAlignment="1">
      <alignment horizontal="right"/>
    </xf>
    <xf numFmtId="0" fontId="6" fillId="0" borderId="2" xfId="0" applyFont="1" applyBorder="1"/>
    <xf numFmtId="164" fontId="5" fillId="3" borderId="2" xfId="1" applyNumberFormat="1" applyFont="1" applyFill="1" applyBorder="1"/>
    <xf numFmtId="10" fontId="6" fillId="0" borderId="2" xfId="1" applyNumberFormat="1" applyFont="1" applyFill="1" applyBorder="1" applyAlignment="1">
      <alignment horizontal="right"/>
    </xf>
    <xf numFmtId="43" fontId="5" fillId="0" borderId="0" xfId="2" applyFont="1"/>
    <xf numFmtId="10" fontId="6" fillId="0" borderId="0" xfId="1" applyNumberFormat="1" applyFont="1" applyFill="1" applyBorder="1" applyAlignment="1">
      <alignment horizontal="right"/>
    </xf>
    <xf numFmtId="165" fontId="5" fillId="0" borderId="0" xfId="0" applyNumberFormat="1" applyFont="1"/>
    <xf numFmtId="166" fontId="5" fillId="0" borderId="0" xfId="0" applyNumberFormat="1" applyFont="1"/>
    <xf numFmtId="167" fontId="5" fillId="0" borderId="0" xfId="0" applyNumberFormat="1" applyFont="1"/>
    <xf numFmtId="168" fontId="5" fillId="0" borderId="0" xfId="2" applyNumberFormat="1" applyFont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6" fillId="0" borderId="0" xfId="0" applyFont="1" applyAlignment="1">
      <alignment vertical="center" textRotation="90"/>
    </xf>
    <xf numFmtId="165" fontId="6" fillId="3" borderId="2" xfId="2" applyNumberFormat="1" applyFont="1" applyFill="1" applyBorder="1"/>
    <xf numFmtId="0" fontId="6" fillId="0" borderId="0" xfId="0" applyFont="1" applyAlignment="1">
      <alignment horizontal="center" vertical="center" textRotation="90"/>
    </xf>
    <xf numFmtId="0" fontId="6" fillId="3" borderId="2" xfId="0" applyFont="1" applyFill="1" applyBorder="1" applyAlignment="1">
      <alignment wrapText="1"/>
    </xf>
    <xf numFmtId="0" fontId="0" fillId="3" borderId="3" xfId="0" applyFill="1" applyBorder="1"/>
    <xf numFmtId="0" fontId="0" fillId="0" borderId="0" xfId="0" applyFill="1" applyBorder="1" applyAlignment="1"/>
    <xf numFmtId="0" fontId="0" fillId="0" borderId="4" xfId="0" applyFill="1" applyBorder="1" applyAlignment="1"/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Continuous"/>
    </xf>
    <xf numFmtId="0" fontId="0" fillId="0" borderId="4" xfId="0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0" fillId="0" borderId="2" xfId="0" applyFill="1" applyBorder="1"/>
    <xf numFmtId="0" fontId="3" fillId="3" borderId="2" xfId="0" applyFont="1" applyFill="1" applyBorder="1"/>
    <xf numFmtId="0" fontId="0" fillId="3" borderId="4" xfId="0" applyFill="1" applyBorder="1" applyAlignment="1"/>
    <xf numFmtId="2" fontId="0" fillId="0" borderId="0" xfId="0" applyNumberForma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168" fontId="5" fillId="0" borderId="0" xfId="0" applyNumberFormat="1" applyFont="1"/>
    <xf numFmtId="49" fontId="5" fillId="0" borderId="0" xfId="0" applyNumberFormat="1" applyFont="1"/>
    <xf numFmtId="49" fontId="5" fillId="0" borderId="1" xfId="0" applyNumberFormat="1" applyFont="1" applyBorder="1" applyAlignment="1">
      <alignment wrapText="1"/>
    </xf>
    <xf numFmtId="168" fontId="5" fillId="0" borderId="1" xfId="0" applyNumberFormat="1" applyFont="1" applyBorder="1"/>
    <xf numFmtId="168" fontId="5" fillId="0" borderId="1" xfId="2" applyNumberFormat="1" applyFont="1" applyBorder="1"/>
    <xf numFmtId="168" fontId="6" fillId="0" borderId="2" xfId="2" applyNumberFormat="1" applyFont="1" applyFill="1" applyBorder="1" applyAlignment="1">
      <alignment horizontal="right"/>
    </xf>
    <xf numFmtId="43" fontId="5" fillId="0" borderId="0" xfId="2" applyNumberFormat="1" applyFont="1"/>
    <xf numFmtId="43" fontId="5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5" fillId="3" borderId="0" xfId="0" applyFont="1" applyFill="1" applyBorder="1" applyAlignment="1">
      <alignment horizontal="center" vertical="center" textRotation="90" wrapText="1"/>
    </xf>
    <xf numFmtId="0" fontId="5" fillId="3" borderId="0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 textRotation="90"/>
    </xf>
    <xf numFmtId="0" fontId="5" fillId="3" borderId="0" xfId="0" applyFont="1" applyFill="1" applyBorder="1" applyAlignment="1">
      <alignment vertical="center" textRotation="90"/>
    </xf>
    <xf numFmtId="0" fontId="5" fillId="3" borderId="1" xfId="0" applyFont="1" applyFill="1" applyBorder="1" applyAlignment="1">
      <alignment vertical="center" textRotation="90"/>
    </xf>
    <xf numFmtId="0" fontId="5" fillId="3" borderId="3" xfId="0" applyFont="1" applyFill="1" applyBorder="1" applyAlignment="1">
      <alignment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Sfera
 finansowa Rozkład reszt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'Regresja i wykresy'!$E$2:$E$7</c:f>
              <c:numCache>
                <c:formatCode>0.00%</c:formatCode>
                <c:ptCount val="6"/>
                <c:pt idx="0">
                  <c:v>5.6307898688850333E-2</c:v>
                </c:pt>
                <c:pt idx="1">
                  <c:v>5.4340889904764711E-2</c:v>
                </c:pt>
                <c:pt idx="2">
                  <c:v>3.1403926705706936E-2</c:v>
                </c:pt>
                <c:pt idx="3">
                  <c:v>-1.1947503140844307E-2</c:v>
                </c:pt>
                <c:pt idx="4">
                  <c:v>-6.2501701571158419E-2</c:v>
                </c:pt>
                <c:pt idx="5">
                  <c:v>-6.3759323441335725E-2</c:v>
                </c:pt>
              </c:numCache>
            </c:numRef>
          </c:xVal>
          <c:yVal>
            <c:numRef>
              <c:f>'Regresja i wykresy'!$C$55:$C$60</c:f>
              <c:numCache>
                <c:formatCode>General</c:formatCode>
                <c:ptCount val="6"/>
                <c:pt idx="0">
                  <c:v>0.2429266694549127</c:v>
                </c:pt>
                <c:pt idx="1">
                  <c:v>-4.96955077650727E-2</c:v>
                </c:pt>
                <c:pt idx="2">
                  <c:v>-0.22181136565410325</c:v>
                </c:pt>
                <c:pt idx="3">
                  <c:v>-4.3133501996312218E-2</c:v>
                </c:pt>
                <c:pt idx="4">
                  <c:v>3.5491921084899625E-2</c:v>
                </c:pt>
                <c:pt idx="5">
                  <c:v>3.6221784875675844E-2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ED-410E-B016-CCA6B6B56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784376"/>
        <c:axId val="585778144"/>
      </c:scatterChart>
      <c:valAx>
        <c:axId val="585784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Sfera
 finansowa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85778144"/>
        <c:crosses val="autoZero"/>
        <c:crossBetween val="midCat"/>
      </c:valAx>
      <c:valAx>
        <c:axId val="585778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Składniki resztowe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5784376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Sfera
 finansowa Rozkład linii dopasowanej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Sfera cyfrowa</c:v>
          </c:tx>
          <c:spPr>
            <a:ln w="19050">
              <a:noFill/>
            </a:ln>
          </c:spPr>
          <c:xVal>
            <c:numRef>
              <c:f>'Regresja i wykresy'!$E$2:$E$7</c:f>
              <c:numCache>
                <c:formatCode>0.00%</c:formatCode>
                <c:ptCount val="6"/>
                <c:pt idx="0">
                  <c:v>5.6307898688850333E-2</c:v>
                </c:pt>
                <c:pt idx="1">
                  <c:v>5.4340889904764711E-2</c:v>
                </c:pt>
                <c:pt idx="2">
                  <c:v>3.1403926705706936E-2</c:v>
                </c:pt>
                <c:pt idx="3">
                  <c:v>-1.1947503140844307E-2</c:v>
                </c:pt>
                <c:pt idx="4">
                  <c:v>-6.2501701571158419E-2</c:v>
                </c:pt>
                <c:pt idx="5">
                  <c:v>-6.3759323441335725E-2</c:v>
                </c:pt>
              </c:numCache>
            </c:numRef>
          </c:xVal>
          <c:yVal>
            <c:numRef>
              <c:f>'Regresja i wykresy'!$F$2:$F$7</c:f>
              <c:numCache>
                <c:formatCode>0.00%</c:formatCode>
                <c:ptCount val="6"/>
                <c:pt idx="0">
                  <c:v>0.93089329744918936</c:v>
                </c:pt>
                <c:pt idx="1">
                  <c:v>0.62743504505487402</c:v>
                </c:pt>
                <c:pt idx="2">
                  <c:v>0.32896151174175009</c:v>
                </c:pt>
                <c:pt idx="3">
                  <c:v>0.26882023207258626</c:v>
                </c:pt>
                <c:pt idx="4">
                  <c:v>6.8947104968861472E-2</c:v>
                </c:pt>
                <c:pt idx="5">
                  <c:v>6.2748842542622307E-2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C5-45F9-B7E9-B502DD52EDF1}"/>
            </c:ext>
          </c:extLst>
        </c:ser>
        <c:ser>
          <c:idx val="1"/>
          <c:order val="1"/>
          <c:tx>
            <c:v>Przewidywane Sfera cyfrowa</c:v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'Regresja i wykresy'!$E$2:$E$7</c:f>
              <c:numCache>
                <c:formatCode>0.00%</c:formatCode>
                <c:ptCount val="6"/>
                <c:pt idx="0">
                  <c:v>5.6307898688850333E-2</c:v>
                </c:pt>
                <c:pt idx="1">
                  <c:v>5.4340889904764711E-2</c:v>
                </c:pt>
                <c:pt idx="2">
                  <c:v>3.1403926705706936E-2</c:v>
                </c:pt>
                <c:pt idx="3">
                  <c:v>-1.1947503140844307E-2</c:v>
                </c:pt>
                <c:pt idx="4">
                  <c:v>-6.2501701571158419E-2</c:v>
                </c:pt>
                <c:pt idx="5">
                  <c:v>-6.3759323441335725E-2</c:v>
                </c:pt>
              </c:numCache>
            </c:numRef>
          </c:xVal>
          <c:yVal>
            <c:numRef>
              <c:f>'Regresja i wykresy'!$B$55:$B$60</c:f>
              <c:numCache>
                <c:formatCode>General</c:formatCode>
                <c:ptCount val="6"/>
                <c:pt idx="0">
                  <c:v>0.68796662799427666</c:v>
                </c:pt>
                <c:pt idx="1">
                  <c:v>0.67713055281994672</c:v>
                </c:pt>
                <c:pt idx="2">
                  <c:v>0.55077287739585334</c:v>
                </c:pt>
                <c:pt idx="3">
                  <c:v>0.31195373406889848</c:v>
                </c:pt>
                <c:pt idx="4">
                  <c:v>3.3455183883961848E-2</c:v>
                </c:pt>
                <c:pt idx="5">
                  <c:v>2.6527057666946463E-2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C5-45F9-B7E9-B502DD52E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586672"/>
        <c:axId val="418587984"/>
      </c:scatterChart>
      <c:valAx>
        <c:axId val="41858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Sfera
 finansowa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418587984"/>
        <c:crosses val="autoZero"/>
        <c:crossBetween val="midCat"/>
      </c:valAx>
      <c:valAx>
        <c:axId val="4185879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Sfera cyfrowa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418586672"/>
        <c:crosses val="autoZero"/>
        <c:crossBetween val="midCat"/>
      </c:valAx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Sfera cyfrowa Rozkład reszt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'Regresja i wykresy'!$F$2:$F$7</c:f>
              <c:numCache>
                <c:formatCode>0.00%</c:formatCode>
                <c:ptCount val="6"/>
                <c:pt idx="0">
                  <c:v>0.93089329744918936</c:v>
                </c:pt>
                <c:pt idx="1">
                  <c:v>0.62743504505487402</c:v>
                </c:pt>
                <c:pt idx="2">
                  <c:v>0.32896151174175009</c:v>
                </c:pt>
                <c:pt idx="3">
                  <c:v>0.26882023207258626</c:v>
                </c:pt>
                <c:pt idx="4">
                  <c:v>6.8947104968861472E-2</c:v>
                </c:pt>
                <c:pt idx="5">
                  <c:v>6.2748842542622307E-2</c:v>
                </c:pt>
              </c:numCache>
            </c:numRef>
          </c:xVal>
          <c:yVal>
            <c:numRef>
              <c:f>'Regresja i wykresy'!$C$88:$C$93</c:f>
              <c:numCache>
                <c:formatCode>General</c:formatCode>
                <c:ptCount val="6"/>
                <c:pt idx="0">
                  <c:v>-2.4195645834621776E-2</c:v>
                </c:pt>
                <c:pt idx="1">
                  <c:v>1.7933742367844653E-2</c:v>
                </c:pt>
                <c:pt idx="2">
                  <c:v>3.8368832197854336E-2</c:v>
                </c:pt>
                <c:pt idx="3">
                  <c:v>3.7567057732600245E-3</c:v>
                </c:pt>
                <c:pt idx="4">
                  <c:v>-1.7753350043799743E-2</c:v>
                </c:pt>
                <c:pt idx="5">
                  <c:v>-1.8110284460537467E-2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AB-47B4-B1A6-A4FDD2CC3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794872"/>
        <c:axId val="585788312"/>
      </c:scatterChart>
      <c:valAx>
        <c:axId val="585794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Sfera cyfrowa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85788312"/>
        <c:crosses val="autoZero"/>
        <c:crossBetween val="midCat"/>
      </c:valAx>
      <c:valAx>
        <c:axId val="5857883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Składniki resztowe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85794872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Sfera cyfrowa Rozkład linii dopasowanej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Sfera
 finansowa</c:v>
          </c:tx>
          <c:spPr>
            <a:ln w="19050">
              <a:noFill/>
            </a:ln>
          </c:spPr>
          <c:xVal>
            <c:numRef>
              <c:f>'Regresja i wykresy'!$F$2:$F$7</c:f>
              <c:numCache>
                <c:formatCode>0.00%</c:formatCode>
                <c:ptCount val="6"/>
                <c:pt idx="0">
                  <c:v>0.93089329744918936</c:v>
                </c:pt>
                <c:pt idx="1">
                  <c:v>0.62743504505487402</c:v>
                </c:pt>
                <c:pt idx="2">
                  <c:v>0.32896151174175009</c:v>
                </c:pt>
                <c:pt idx="3">
                  <c:v>0.26882023207258626</c:v>
                </c:pt>
                <c:pt idx="4">
                  <c:v>6.8947104968861472E-2</c:v>
                </c:pt>
                <c:pt idx="5">
                  <c:v>6.2748842542622307E-2</c:v>
                </c:pt>
              </c:numCache>
            </c:numRef>
          </c:xVal>
          <c:yVal>
            <c:numRef>
              <c:f>'Regresja i wykresy'!$E$2:$E$7</c:f>
              <c:numCache>
                <c:formatCode>0.00%</c:formatCode>
                <c:ptCount val="6"/>
                <c:pt idx="0">
                  <c:v>5.6307898688850333E-2</c:v>
                </c:pt>
                <c:pt idx="1">
                  <c:v>5.4340889904764711E-2</c:v>
                </c:pt>
                <c:pt idx="2">
                  <c:v>3.1403926705706936E-2</c:v>
                </c:pt>
                <c:pt idx="3">
                  <c:v>-1.1947503140844307E-2</c:v>
                </c:pt>
                <c:pt idx="4">
                  <c:v>-6.2501701571158419E-2</c:v>
                </c:pt>
                <c:pt idx="5">
                  <c:v>-6.3759323441335725E-2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23-4BBF-B45F-50CDDC22AA0E}"/>
            </c:ext>
          </c:extLst>
        </c:ser>
        <c:ser>
          <c:idx val="1"/>
          <c:order val="1"/>
          <c:tx>
            <c:v>Przewidywane Sfera
 finansowa</c:v>
          </c:tx>
          <c:spPr>
            <a:ln w="19050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'Regresja i wykresy'!$F$2:$F$7</c:f>
              <c:numCache>
                <c:formatCode>0.00%</c:formatCode>
                <c:ptCount val="6"/>
                <c:pt idx="0">
                  <c:v>0.93089329744918936</c:v>
                </c:pt>
                <c:pt idx="1">
                  <c:v>0.62743504505487402</c:v>
                </c:pt>
                <c:pt idx="2">
                  <c:v>0.32896151174175009</c:v>
                </c:pt>
                <c:pt idx="3">
                  <c:v>0.26882023207258626</c:v>
                </c:pt>
                <c:pt idx="4">
                  <c:v>6.8947104968861472E-2</c:v>
                </c:pt>
                <c:pt idx="5">
                  <c:v>6.2748842542622307E-2</c:v>
                </c:pt>
              </c:numCache>
            </c:numRef>
          </c:xVal>
          <c:yVal>
            <c:numRef>
              <c:f>'Regresja i wykresy'!$B$88:$B$93</c:f>
              <c:numCache>
                <c:formatCode>General</c:formatCode>
                <c:ptCount val="6"/>
                <c:pt idx="0">
                  <c:v>8.0503544523472109E-2</c:v>
                </c:pt>
                <c:pt idx="1">
                  <c:v>3.6407147536920058E-2</c:v>
                </c:pt>
                <c:pt idx="2">
                  <c:v>-6.9649054921473996E-3</c:v>
                </c:pt>
                <c:pt idx="3">
                  <c:v>-1.5704208914104303E-2</c:v>
                </c:pt>
                <c:pt idx="4">
                  <c:v>-4.4748351527358649E-2</c:v>
                </c:pt>
                <c:pt idx="5">
                  <c:v>-4.5649038980798258E-2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23-4BBF-B45F-50CDDC22A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793232"/>
        <c:axId val="585794872"/>
      </c:scatterChart>
      <c:valAx>
        <c:axId val="585793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Sfera cyfrowa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85794872"/>
        <c:crosses val="autoZero"/>
        <c:crossBetween val="midCat"/>
      </c:valAx>
      <c:valAx>
        <c:axId val="585794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Sfera
 finansowa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85793232"/>
        <c:crosses val="autoZero"/>
        <c:crossBetween val="midCat"/>
      </c:valAx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91776027996496E-2"/>
          <c:y val="5.0925925925925923E-2"/>
          <c:w val="0.86559711286089236"/>
          <c:h val="0.6242891513560805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'Regresja i wykresy'!$F$1</c:f>
              <c:strCache>
                <c:ptCount val="1"/>
                <c:pt idx="0">
                  <c:v>Sfera cyfrowa (CAGR)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8052869116698903E-2"/>
                  <c:y val="1.723209185383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BE-4DFD-BA47-F88133D92044}"/>
                </c:ext>
              </c:extLst>
            </c:dLbl>
            <c:dLbl>
              <c:idx val="1"/>
              <c:layout>
                <c:manualLayout>
                  <c:x val="2.0631850419084462E-2"/>
                  <c:y val="1.2924068890375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BE-4DFD-BA47-F88133D92044}"/>
                </c:ext>
              </c:extLst>
            </c:dLbl>
            <c:dLbl>
              <c:idx val="2"/>
              <c:layout>
                <c:manualLayout>
                  <c:x val="2.0631850419084462E-2"/>
                  <c:y val="2.154011481729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BE-4DFD-BA47-F88133D92044}"/>
                </c:ext>
              </c:extLst>
            </c:dLbl>
            <c:dLbl>
              <c:idx val="3"/>
              <c:layout>
                <c:manualLayout>
                  <c:x val="-8.7685364281109013E-2"/>
                  <c:y val="7.7544413342252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BE-4DFD-BA47-F88133D92044}"/>
                </c:ext>
              </c:extLst>
            </c:dLbl>
            <c:dLbl>
              <c:idx val="4"/>
              <c:layout>
                <c:manualLayout>
                  <c:x val="5.931656995486783E-2"/>
                  <c:y val="-7.8979508618715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BE-4DFD-BA47-F88133D92044}"/>
                </c:ext>
              </c:extLst>
            </c:dLbl>
            <c:dLbl>
              <c:idx val="5"/>
              <c:layout>
                <c:manualLayout>
                  <c:x val="5.157962604771092E-3"/>
                  <c:y val="-0.116316620013378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BE-4DFD-BA47-F88133D92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2534558180227471E-2"/>
                  <c:y val="-3.05169145523476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</c:trendlineLbl>
          </c:trendline>
          <c:xVal>
            <c:numRef>
              <c:f>'Regresja i wykresy'!$E$2:$E$7</c:f>
              <c:numCache>
                <c:formatCode>0.00%</c:formatCode>
                <c:ptCount val="6"/>
                <c:pt idx="0">
                  <c:v>5.6307898688850333E-2</c:v>
                </c:pt>
                <c:pt idx="1">
                  <c:v>5.4340889904764711E-2</c:v>
                </c:pt>
                <c:pt idx="2">
                  <c:v>3.1403926705706936E-2</c:v>
                </c:pt>
                <c:pt idx="3">
                  <c:v>-1.1947503140844307E-2</c:v>
                </c:pt>
                <c:pt idx="4">
                  <c:v>-6.2501701571158419E-2</c:v>
                </c:pt>
                <c:pt idx="5">
                  <c:v>-6.3759323441335725E-2</c:v>
                </c:pt>
              </c:numCache>
            </c:numRef>
          </c:xVal>
          <c:yVal>
            <c:numRef>
              <c:f>'Regresja i wykresy'!$F$2:$F$7</c:f>
              <c:numCache>
                <c:formatCode>0.00%</c:formatCode>
                <c:ptCount val="6"/>
                <c:pt idx="0">
                  <c:v>0.93089329744918936</c:v>
                </c:pt>
                <c:pt idx="1">
                  <c:v>0.62743504505487402</c:v>
                </c:pt>
                <c:pt idx="2">
                  <c:v>0.32896151174175009</c:v>
                </c:pt>
                <c:pt idx="3">
                  <c:v>0.26882023207258626</c:v>
                </c:pt>
                <c:pt idx="4">
                  <c:v>6.8947104968861472E-2</c:v>
                </c:pt>
                <c:pt idx="5">
                  <c:v>6.2748842542622307E-2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BE-4DFD-BA47-F88133D92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564208"/>
        <c:axId val="776564536"/>
      </c:scatterChart>
      <c:valAx>
        <c:axId val="776564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Sfera finansowa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%" sourceLinked="1"/>
        <c:majorTickMark val="out"/>
        <c:minorTickMark val="out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76564536"/>
        <c:crosses val="autoZero"/>
        <c:crossBetween val="midCat"/>
      </c:valAx>
      <c:valAx>
        <c:axId val="776564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Sfera cyfrowa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0%" sourceLinked="1"/>
        <c:majorTickMark val="cross"/>
        <c:minorTickMark val="cross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76564208"/>
        <c:crosses val="autoZero"/>
        <c:crossBetween val="midCat"/>
        <c:majorUnit val="0.25"/>
      </c:valAx>
      <c:spPr>
        <a:noFill/>
        <a:ln w="6350">
          <a:noFill/>
        </a:ln>
        <a:effectLst/>
      </c:spPr>
    </c:plotArea>
    <c:legend>
      <c:legendPos val="b"/>
      <c:layout>
        <c:manualLayout>
          <c:xMode val="edge"/>
          <c:yMode val="edge"/>
          <c:x val="1.4996281714785651E-2"/>
          <c:y val="0.84374890638670164"/>
          <c:w val="0.92556277340332482"/>
          <c:h val="0.128473315835520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69225721784777"/>
          <c:y val="5.0925925925925923E-2"/>
          <c:w val="0.84075218722659673"/>
          <c:h val="0.905698026278825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'Regresja i wykresy'!$E$1</c:f>
              <c:strCache>
                <c:ptCount val="1"/>
                <c:pt idx="0">
                  <c:v>Sfera finansowa (CAGR)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CB-4196-9CDE-69B81C032BF4}"/>
                </c:ext>
              </c:extLst>
            </c:dLbl>
            <c:dLbl>
              <c:idx val="4"/>
              <c:layout>
                <c:manualLayout>
                  <c:x val="0"/>
                  <c:y val="0.12962962962962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CB-4196-9CDE-69B81C032BF4}"/>
                </c:ext>
              </c:extLst>
            </c:dLbl>
            <c:dLbl>
              <c:idx val="5"/>
              <c:layout>
                <c:manualLayout>
                  <c:x val="0"/>
                  <c:y val="0.13425962379702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CB-4196-9CDE-69B81C032B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'Regresja i wykresy'!$D$2:$D$7</c:f>
              <c:strCache>
                <c:ptCount val="6"/>
                <c:pt idx="0">
                  <c:v>SF1</c:v>
                </c:pt>
                <c:pt idx="1">
                  <c:v>SF2</c:v>
                </c:pt>
                <c:pt idx="2">
                  <c:v>SF3</c:v>
                </c:pt>
                <c:pt idx="3">
                  <c:v>SF4</c:v>
                </c:pt>
                <c:pt idx="4">
                  <c:v>     
SF5</c:v>
                </c:pt>
                <c:pt idx="5">
                  <c:v>     
SF6</c:v>
                </c:pt>
              </c:strCache>
            </c:strRef>
          </c:cat>
          <c:val>
            <c:numRef>
              <c:f>'Regresja i wykresy'!$E$2:$E$7</c:f>
              <c:numCache>
                <c:formatCode>0.00%</c:formatCode>
                <c:ptCount val="6"/>
                <c:pt idx="0">
                  <c:v>5.6307898688850333E-2</c:v>
                </c:pt>
                <c:pt idx="1">
                  <c:v>5.4340889904764711E-2</c:v>
                </c:pt>
                <c:pt idx="2">
                  <c:v>3.1403926705706936E-2</c:v>
                </c:pt>
                <c:pt idx="3">
                  <c:v>-1.1947503140844307E-2</c:v>
                </c:pt>
                <c:pt idx="4">
                  <c:v>-6.2501701571158419E-2</c:v>
                </c:pt>
                <c:pt idx="5">
                  <c:v>-6.3759323441335725E-2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B-4196-9CDE-69B81C03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85791264"/>
        <c:axId val="585791592"/>
      </c:barChart>
      <c:catAx>
        <c:axId val="58579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l-PL"/>
          </a:p>
        </c:txPr>
        <c:crossAx val="585791592"/>
        <c:crosses val="autoZero"/>
        <c:auto val="1"/>
        <c:lblAlgn val="ctr"/>
        <c:lblOffset val="100"/>
        <c:noMultiLvlLbl val="0"/>
      </c:catAx>
      <c:valAx>
        <c:axId val="585791592"/>
        <c:scaling>
          <c:orientation val="minMax"/>
          <c:max val="1"/>
          <c:min val="-0.25"/>
        </c:scaling>
        <c:delete val="0"/>
        <c:axPos val="l"/>
        <c:numFmt formatCode="0.00%" sourceLinked="1"/>
        <c:majorTickMark val="in"/>
        <c:minorTickMark val="in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pl-PL"/>
          </a:p>
        </c:txPr>
        <c:crossAx val="58579126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63648293963258"/>
          <c:y val="0.30860604314704565"/>
          <c:w val="0.35825541546816253"/>
          <c:h val="7.3732572419273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  <a:ea typeface="Tahoma" panose="020B0604030504040204" pitchFamily="34" charset="0"/>
          <a:cs typeface="Tahom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69225721784777"/>
          <c:y val="5.0925925925925923E-2"/>
          <c:w val="0.84075218722659673"/>
          <c:h val="0.900732720909886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'Regresja i wykresy'!$F$1</c:f>
              <c:strCache>
                <c:ptCount val="1"/>
                <c:pt idx="0">
                  <c:v>Sfera cyfrowa (CAGR)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'Regresja i wykresy'!$G$2:$G$7</c:f>
              <c:strCache>
                <c:ptCount val="6"/>
                <c:pt idx="0">
                  <c:v>SC1</c:v>
                </c:pt>
                <c:pt idx="1">
                  <c:v>SC2</c:v>
                </c:pt>
                <c:pt idx="2">
                  <c:v>SC3</c:v>
                </c:pt>
                <c:pt idx="3">
                  <c:v>SC4</c:v>
                </c:pt>
                <c:pt idx="4">
                  <c:v>SC5</c:v>
                </c:pt>
                <c:pt idx="5">
                  <c:v>SC6</c:v>
                </c:pt>
              </c:strCache>
            </c:strRef>
          </c:cat>
          <c:val>
            <c:numRef>
              <c:f>'Regresja i wykresy'!$F$2:$F$7</c:f>
              <c:numCache>
                <c:formatCode>0.00%</c:formatCode>
                <c:ptCount val="6"/>
                <c:pt idx="0">
                  <c:v>0.93089329744918936</c:v>
                </c:pt>
                <c:pt idx="1">
                  <c:v>0.62743504505487402</c:v>
                </c:pt>
                <c:pt idx="2">
                  <c:v>0.32896151174175009</c:v>
                </c:pt>
                <c:pt idx="3">
                  <c:v>0.26882023207258626</c:v>
                </c:pt>
                <c:pt idx="4">
                  <c:v>6.8947104968861472E-2</c:v>
                </c:pt>
                <c:pt idx="5">
                  <c:v>6.2748842542622307E-2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CB-4196-9CDE-69B81C032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85791264"/>
        <c:axId val="585791592"/>
      </c:barChart>
      <c:catAx>
        <c:axId val="58579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5791592"/>
        <c:crosses val="autoZero"/>
        <c:auto val="1"/>
        <c:lblAlgn val="ctr"/>
        <c:lblOffset val="100"/>
        <c:noMultiLvlLbl val="0"/>
      </c:catAx>
      <c:valAx>
        <c:axId val="585791592"/>
        <c:scaling>
          <c:orientation val="minMax"/>
          <c:max val="1"/>
          <c:min val="-0.25"/>
        </c:scaling>
        <c:delete val="0"/>
        <c:axPos val="l"/>
        <c:numFmt formatCode="0.00%" sourceLinked="1"/>
        <c:majorTickMark val="in"/>
        <c:minorTickMark val="in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8579126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559208223972003"/>
          <c:y val="0.28015075859420013"/>
          <c:w val="0.32777295045851229"/>
          <c:h val="7.3732572419273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+mn-lt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14</xdr:row>
      <xdr:rowOff>114300</xdr:rowOff>
    </xdr:from>
    <xdr:to>
      <xdr:col>20</xdr:col>
      <xdr:colOff>361488</xdr:colOff>
      <xdr:row>26</xdr:row>
      <xdr:rowOff>294729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A81CCDE-D2EE-4947-8957-0FE1100A2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100" y="1828800"/>
          <a:ext cx="3695238" cy="4371429"/>
        </a:xfrm>
        <a:prstGeom prst="rect">
          <a:avLst/>
        </a:prstGeom>
      </xdr:spPr>
    </xdr:pic>
    <xdr:clientData/>
  </xdr:twoCellAnchor>
  <xdr:twoCellAnchor editAs="oneCell">
    <xdr:from>
      <xdr:col>16</xdr:col>
      <xdr:colOff>371475</xdr:colOff>
      <xdr:row>1</xdr:row>
      <xdr:rowOff>76200</xdr:rowOff>
    </xdr:from>
    <xdr:to>
      <xdr:col>22</xdr:col>
      <xdr:colOff>485304</xdr:colOff>
      <xdr:row>14</xdr:row>
      <xdr:rowOff>18748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3B46353-6215-4FBA-B72A-12BB71858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96925" y="266700"/>
          <a:ext cx="3771429" cy="2419048"/>
        </a:xfrm>
        <a:prstGeom prst="rect">
          <a:avLst/>
        </a:prstGeom>
      </xdr:spPr>
    </xdr:pic>
    <xdr:clientData/>
  </xdr:twoCellAnchor>
  <xdr:twoCellAnchor editAs="oneCell">
    <xdr:from>
      <xdr:col>15</xdr:col>
      <xdr:colOff>504825</xdr:colOff>
      <xdr:row>34</xdr:row>
      <xdr:rowOff>9525</xdr:rowOff>
    </xdr:from>
    <xdr:to>
      <xdr:col>25</xdr:col>
      <xdr:colOff>513587</xdr:colOff>
      <xdr:row>52</xdr:row>
      <xdr:rowOff>94811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630A888-96D0-4771-9B32-78D7F018B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20675" y="7629525"/>
          <a:ext cx="6104762" cy="3514286"/>
        </a:xfrm>
        <a:prstGeom prst="rect">
          <a:avLst/>
        </a:prstGeom>
      </xdr:spPr>
    </xdr:pic>
    <xdr:clientData/>
  </xdr:twoCellAnchor>
  <xdr:twoCellAnchor editAs="oneCell">
    <xdr:from>
      <xdr:col>9</xdr:col>
      <xdr:colOff>447675</xdr:colOff>
      <xdr:row>38</xdr:row>
      <xdr:rowOff>0</xdr:rowOff>
    </xdr:from>
    <xdr:to>
      <xdr:col>14</xdr:col>
      <xdr:colOff>256818</xdr:colOff>
      <xdr:row>48</xdr:row>
      <xdr:rowOff>114048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5D006AC-BB2F-4DA5-83D0-DFB4FCF38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05925" y="8382000"/>
          <a:ext cx="2857143" cy="2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66675</xdr:rowOff>
    </xdr:from>
    <xdr:to>
      <xdr:col>4</xdr:col>
      <xdr:colOff>608833</xdr:colOff>
      <xdr:row>57</xdr:row>
      <xdr:rowOff>9104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9349D23-D467-44B6-B214-62391F293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591675"/>
          <a:ext cx="6133333" cy="3371429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22</xdr:row>
      <xdr:rowOff>619125</xdr:rowOff>
    </xdr:from>
    <xdr:to>
      <xdr:col>23</xdr:col>
      <xdr:colOff>218368</xdr:colOff>
      <xdr:row>27</xdr:row>
      <xdr:rowOff>133101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AD78AD06-665C-4F78-BA76-08FD1FA6D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53875" y="4048125"/>
          <a:ext cx="5657143" cy="1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110727</xdr:colOff>
      <xdr:row>32</xdr:row>
      <xdr:rowOff>92869</xdr:rowOff>
    </xdr:from>
    <xdr:to>
      <xdr:col>19</xdr:col>
      <xdr:colOff>120252</xdr:colOff>
      <xdr:row>46</xdr:row>
      <xdr:rowOff>78877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CF37A16-F090-4AAA-BD10-43F81E241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110727</xdr:colOff>
      <xdr:row>46</xdr:row>
      <xdr:rowOff>141684</xdr:rowOff>
    </xdr:from>
    <xdr:to>
      <xdr:col>19</xdr:col>
      <xdr:colOff>120252</xdr:colOff>
      <xdr:row>60</xdr:row>
      <xdr:rowOff>79772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1BC1D7CD-BCAD-4B0F-8CDC-7BFBB5727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101202</xdr:colOff>
      <xdr:row>63</xdr:row>
      <xdr:rowOff>165497</xdr:rowOff>
    </xdr:from>
    <xdr:to>
      <xdr:col>19</xdr:col>
      <xdr:colOff>110727</xdr:colOff>
      <xdr:row>77</xdr:row>
      <xdr:rowOff>39586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51E965A4-61DB-469E-8C3C-9A8177933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110727</xdr:colOff>
      <xdr:row>77</xdr:row>
      <xdr:rowOff>92869</xdr:rowOff>
    </xdr:from>
    <xdr:to>
      <xdr:col>19</xdr:col>
      <xdr:colOff>120252</xdr:colOff>
      <xdr:row>87</xdr:row>
      <xdr:rowOff>42863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613B6B5B-A648-4AE4-A385-F9BA3A84C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584200</xdr:colOff>
      <xdr:row>11</xdr:row>
      <xdr:rowOff>0</xdr:rowOff>
    </xdr:from>
    <xdr:to>
      <xdr:col>20</xdr:col>
      <xdr:colOff>381000</xdr:colOff>
      <xdr:row>27</xdr:row>
      <xdr:rowOff>12700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69BBDE6C-A041-4F98-A049-2C3E83835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571500</xdr:colOff>
      <xdr:row>10</xdr:row>
      <xdr:rowOff>166687</xdr:rowOff>
    </xdr:from>
    <xdr:to>
      <xdr:col>5</xdr:col>
      <xdr:colOff>114300</xdr:colOff>
      <xdr:row>27</xdr:row>
      <xdr:rowOff>42862</xdr:rowOff>
    </xdr:to>
    <xdr:graphicFrame macro="">
      <xdr:nvGraphicFramePr>
        <xdr:cNvPr id="11" name="Wykres 10">
          <a:extLst>
            <a:ext uri="{FF2B5EF4-FFF2-40B4-BE49-F238E27FC236}">
              <a16:creationId xmlns:a16="http://schemas.microsoft.com/office/drawing/2014/main" id="{B197BC77-C092-4C0C-90B6-E1E4A06B2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161925</xdr:colOff>
      <xdr:row>10</xdr:row>
      <xdr:rowOff>166687</xdr:rowOff>
    </xdr:from>
    <xdr:to>
      <xdr:col>11</xdr:col>
      <xdr:colOff>161925</xdr:colOff>
      <xdr:row>27</xdr:row>
      <xdr:rowOff>42862</xdr:rowOff>
    </xdr:to>
    <xdr:graphicFrame macro="">
      <xdr:nvGraphicFramePr>
        <xdr:cNvPr id="12" name="Wykres 11">
          <a:extLst>
            <a:ext uri="{FF2B5EF4-FFF2-40B4-BE49-F238E27FC236}">
              <a16:creationId xmlns:a16="http://schemas.microsoft.com/office/drawing/2014/main" id="{C907FB49-458E-47E0-83FE-F351AE025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2D60-C81B-493B-87D8-F8356CA22964}">
  <dimension ref="A1:P45"/>
  <sheetViews>
    <sheetView workbookViewId="0">
      <selection activeCell="E34" sqref="E34"/>
    </sheetView>
  </sheetViews>
  <sheetFormatPr defaultRowHeight="15" x14ac:dyDescent="0.25"/>
  <cols>
    <col min="1" max="1" width="40.7109375" customWidth="1"/>
    <col min="2" max="2" width="14.42578125" bestFit="1" customWidth="1"/>
    <col min="3" max="3" width="12.42578125" customWidth="1"/>
    <col min="4" max="4" width="15.28515625" customWidth="1"/>
    <col min="5" max="5" width="13.85546875" customWidth="1"/>
    <col min="6" max="6" width="15" customWidth="1"/>
  </cols>
  <sheetData>
    <row r="1" spans="1:15" x14ac:dyDescent="0.25">
      <c r="B1" s="1"/>
    </row>
    <row r="2" spans="1:15" x14ac:dyDescent="0.25">
      <c r="B2" s="1"/>
    </row>
    <row r="3" spans="1:15" x14ac:dyDescent="0.25">
      <c r="B3" s="11">
        <v>2014</v>
      </c>
      <c r="C3" s="11">
        <v>2015</v>
      </c>
      <c r="D3" s="11">
        <v>2016</v>
      </c>
      <c r="E3" s="11">
        <v>2017</v>
      </c>
      <c r="F3" s="11">
        <v>2018</v>
      </c>
      <c r="G3" s="12" t="s">
        <v>6</v>
      </c>
    </row>
    <row r="4" spans="1:15" x14ac:dyDescent="0.25">
      <c r="A4" s="6" t="s">
        <v>23</v>
      </c>
      <c r="B4" s="6">
        <v>172429</v>
      </c>
      <c r="C4" s="6">
        <v>170318</v>
      </c>
      <c r="D4" s="6">
        <v>168492</v>
      </c>
      <c r="E4" s="6">
        <v>164024</v>
      </c>
      <c r="F4" s="8"/>
      <c r="G4" s="9">
        <f>M4</f>
        <v>-1.6493807109419056E-2</v>
      </c>
      <c r="H4" s="6"/>
      <c r="I4" s="9">
        <f t="shared" ref="I4:K8" si="0">C4/B4-1</f>
        <v>-1.224272019207906E-2</v>
      </c>
      <c r="J4" s="9">
        <f t="shared" si="0"/>
        <v>-1.072112166652972E-2</v>
      </c>
      <c r="K4" s="9">
        <f t="shared" si="0"/>
        <v>-2.6517579469648389E-2</v>
      </c>
      <c r="L4" s="13"/>
      <c r="M4" s="14">
        <f>AVERAGE(I4:L4)</f>
        <v>-1.6493807109419056E-2</v>
      </c>
    </row>
    <row r="5" spans="1:15" x14ac:dyDescent="0.25">
      <c r="A5" s="6" t="s">
        <v>24</v>
      </c>
      <c r="B5" s="6">
        <v>72758</v>
      </c>
      <c r="C5" s="6">
        <v>74191</v>
      </c>
      <c r="D5" s="6">
        <v>76375</v>
      </c>
      <c r="E5" s="6">
        <v>76896</v>
      </c>
      <c r="F5" s="8"/>
      <c r="G5" s="9">
        <f>M5</f>
        <v>1.8651521821252848E-2</v>
      </c>
      <c r="H5" s="6"/>
      <c r="I5" s="9">
        <f t="shared" si="0"/>
        <v>1.9695428681382188E-2</v>
      </c>
      <c r="J5" s="9">
        <f t="shared" si="0"/>
        <v>2.9437532854389437E-2</v>
      </c>
      <c r="K5" s="9">
        <f t="shared" si="0"/>
        <v>6.8216039279869189E-3</v>
      </c>
      <c r="L5" s="13"/>
      <c r="M5" s="14">
        <f>AVERAGE(I5:L5)</f>
        <v>1.8651521821252848E-2</v>
      </c>
    </row>
    <row r="6" spans="1:15" s="15" customFormat="1" x14ac:dyDescent="0.25">
      <c r="A6" s="15" t="s">
        <v>0</v>
      </c>
      <c r="B6" s="16">
        <v>124503</v>
      </c>
      <c r="C6" s="16">
        <v>122786</v>
      </c>
      <c r="D6" s="16">
        <v>119816</v>
      </c>
      <c r="E6" s="16">
        <v>115505</v>
      </c>
      <c r="F6" s="16">
        <v>110998</v>
      </c>
      <c r="G6" s="17">
        <f>M6</f>
        <v>-2.8244845794845458E-2</v>
      </c>
      <c r="I6" s="17">
        <f t="shared" si="0"/>
        <v>-1.3790832349421245E-2</v>
      </c>
      <c r="J6" s="17">
        <f t="shared" si="0"/>
        <v>-2.4188425390516799E-2</v>
      </c>
      <c r="K6" s="17">
        <f t="shared" si="0"/>
        <v>-3.5980169593376465E-2</v>
      </c>
      <c r="L6" s="18">
        <f>F6/E6-1</f>
        <v>-3.9019955846067322E-2</v>
      </c>
      <c r="M6" s="19">
        <f>AVERAGE(I6:L6)</f>
        <v>-2.8244845794845458E-2</v>
      </c>
    </row>
    <row r="7" spans="1:15" s="15" customFormat="1" x14ac:dyDescent="0.25">
      <c r="A7" s="15" t="s">
        <v>1</v>
      </c>
      <c r="B7" s="15">
        <v>7566</v>
      </c>
      <c r="C7" s="15">
        <v>7261</v>
      </c>
      <c r="D7" s="15">
        <v>6462</v>
      </c>
      <c r="E7" s="15">
        <v>5992</v>
      </c>
      <c r="F7" s="15">
        <v>5651</v>
      </c>
      <c r="G7" s="17">
        <f>M7</f>
        <v>-6.9998493367875253E-2</v>
      </c>
      <c r="I7" s="17">
        <f t="shared" si="0"/>
        <v>-4.0311921755220692E-2</v>
      </c>
      <c r="J7" s="17">
        <f t="shared" si="0"/>
        <v>-0.11003993940228618</v>
      </c>
      <c r="K7" s="17">
        <f t="shared" si="0"/>
        <v>-7.2732900030950121E-2</v>
      </c>
      <c r="L7" s="18">
        <f>F7/E7-1</f>
        <v>-5.6909212283044019E-2</v>
      </c>
      <c r="M7" s="19">
        <f>AVERAGE(I7:L7)</f>
        <v>-6.9998493367875253E-2</v>
      </c>
    </row>
    <row r="8" spans="1:15" x14ac:dyDescent="0.25">
      <c r="A8" s="6" t="s">
        <v>20</v>
      </c>
      <c r="B8" s="7">
        <v>7347</v>
      </c>
      <c r="C8" s="6">
        <v>7214</v>
      </c>
      <c r="D8" s="6">
        <v>7043</v>
      </c>
      <c r="E8" s="6">
        <v>6636</v>
      </c>
      <c r="F8" s="8"/>
      <c r="G8" s="9">
        <f>M8</f>
        <v>-3.3198136824521142E-2</v>
      </c>
      <c r="I8" s="4">
        <f t="shared" si="0"/>
        <v>-1.8102626922553378E-2</v>
      </c>
      <c r="J8" s="4">
        <f t="shared" si="0"/>
        <v>-2.370390906570552E-2</v>
      </c>
      <c r="K8" s="4">
        <f t="shared" si="0"/>
        <v>-5.7787874485304536E-2</v>
      </c>
      <c r="L8" s="10"/>
      <c r="M8" s="5">
        <f>AVERAGE(I8:L8)</f>
        <v>-3.3198136824521142E-2</v>
      </c>
    </row>
    <row r="9" spans="1:15" x14ac:dyDescent="0.25">
      <c r="A9" s="6" t="s">
        <v>5</v>
      </c>
      <c r="B9" s="7">
        <v>1529270</v>
      </c>
      <c r="C9" s="7">
        <v>1594968</v>
      </c>
      <c r="D9" s="7">
        <v>1706344</v>
      </c>
      <c r="E9" s="7">
        <v>1772069</v>
      </c>
      <c r="F9" s="7">
        <v>1889124</v>
      </c>
      <c r="G9" s="9">
        <f t="shared" ref="G9:G16" si="1">M9</f>
        <v>5.4340889904764711E-2</v>
      </c>
      <c r="I9" s="4">
        <f t="shared" ref="I9:I16" si="2">C9/B9-1</f>
        <v>4.2960366710914411E-2</v>
      </c>
      <c r="J9" s="4">
        <f t="shared" ref="J9:J16" si="3">D9/C9-1</f>
        <v>6.9829614136459162E-2</v>
      </c>
      <c r="K9" s="4">
        <f t="shared" ref="K9:K16" si="4">E9/D9-1</f>
        <v>3.851802450150732E-2</v>
      </c>
      <c r="L9" s="2">
        <f t="shared" ref="L9:L16" si="5">F9/E9-1</f>
        <v>6.6055554270177952E-2</v>
      </c>
      <c r="M9" s="5">
        <f t="shared" ref="M9:M16" si="6">AVERAGE(I9:L9)</f>
        <v>5.4340889904764711E-2</v>
      </c>
      <c r="O9">
        <v>33000</v>
      </c>
    </row>
    <row r="10" spans="1:15" x14ac:dyDescent="0.25">
      <c r="A10" s="6" t="s">
        <v>11</v>
      </c>
      <c r="B10" s="7">
        <v>165992</v>
      </c>
      <c r="C10" s="7">
        <v>175180</v>
      </c>
      <c r="D10" s="7">
        <v>183731</v>
      </c>
      <c r="E10" s="7">
        <v>203905</v>
      </c>
      <c r="F10" s="6">
        <v>206202</v>
      </c>
      <c r="G10" s="9">
        <f t="shared" si="1"/>
        <v>5.6307898688850333E-2</v>
      </c>
      <c r="I10" s="4">
        <f t="shared" si="2"/>
        <v>5.5352065159766761E-2</v>
      </c>
      <c r="J10" s="4">
        <f t="shared" si="3"/>
        <v>4.8812649845872746E-2</v>
      </c>
      <c r="K10" s="4">
        <f t="shared" si="4"/>
        <v>0.10980182984907283</v>
      </c>
      <c r="L10" s="2">
        <f t="shared" si="5"/>
        <v>1.1265049900688995E-2</v>
      </c>
      <c r="M10" s="5">
        <f t="shared" si="6"/>
        <v>5.6307898688850333E-2</v>
      </c>
      <c r="O10">
        <v>31769</v>
      </c>
    </row>
    <row r="11" spans="1:15" x14ac:dyDescent="0.25">
      <c r="A11" s="21" t="s">
        <v>27</v>
      </c>
      <c r="B11" s="7"/>
      <c r="C11" s="22">
        <f>C10/B10-1</f>
        <v>5.5352065159766761E-2</v>
      </c>
      <c r="D11" s="22">
        <f t="shared" ref="D11:F11" si="7">D10/C10-1</f>
        <v>4.8812649845872746E-2</v>
      </c>
      <c r="E11" s="22">
        <f t="shared" si="7"/>
        <v>0.10980182984907283</v>
      </c>
      <c r="F11" s="22">
        <f t="shared" si="7"/>
        <v>1.1265049900688995E-2</v>
      </c>
      <c r="G11" s="9"/>
      <c r="I11" s="4"/>
      <c r="J11" s="4"/>
      <c r="K11" s="4"/>
      <c r="L11" s="2"/>
      <c r="M11" s="5"/>
    </row>
    <row r="12" spans="1:15" x14ac:dyDescent="0.25">
      <c r="A12" s="6" t="s">
        <v>2</v>
      </c>
      <c r="B12" s="7">
        <v>57614</v>
      </c>
      <c r="C12" s="7">
        <v>55770</v>
      </c>
      <c r="D12" s="7">
        <v>59141</v>
      </c>
      <c r="E12" s="7">
        <v>63847</v>
      </c>
      <c r="F12" s="7">
        <v>64971</v>
      </c>
      <c r="G12" s="9">
        <f t="shared" si="1"/>
        <v>3.1403926705706936E-2</v>
      </c>
      <c r="I12" s="4">
        <f t="shared" si="2"/>
        <v>-3.2006109626132484E-2</v>
      </c>
      <c r="J12" s="4">
        <f t="shared" si="3"/>
        <v>6.044468352160659E-2</v>
      </c>
      <c r="K12" s="4">
        <f t="shared" si="4"/>
        <v>7.9572546964035151E-2</v>
      </c>
      <c r="L12" s="2">
        <f t="shared" si="5"/>
        <v>1.7604585963318486E-2</v>
      </c>
      <c r="M12" s="5">
        <f t="shared" si="6"/>
        <v>3.1403926705706936E-2</v>
      </c>
      <c r="O12">
        <v>19580</v>
      </c>
    </row>
    <row r="13" spans="1:15" x14ac:dyDescent="0.25">
      <c r="A13" s="21" t="s">
        <v>27</v>
      </c>
      <c r="B13" s="7"/>
      <c r="C13" s="22">
        <f>C12/B12-1</f>
        <v>-3.2006109626132484E-2</v>
      </c>
      <c r="D13" s="22">
        <f t="shared" ref="D13" si="8">D12/C12-1</f>
        <v>6.044468352160659E-2</v>
      </c>
      <c r="E13" s="22">
        <f t="shared" ref="E13" si="9">E12/D12-1</f>
        <v>7.9572546964035151E-2</v>
      </c>
      <c r="F13" s="22">
        <f t="shared" ref="F13" si="10">F12/E12-1</f>
        <v>1.7604585963318486E-2</v>
      </c>
      <c r="G13" s="9"/>
      <c r="I13" s="4"/>
      <c r="J13" s="4"/>
      <c r="K13" s="4"/>
      <c r="L13" s="2"/>
      <c r="M13" s="5"/>
    </row>
    <row r="14" spans="1:15" x14ac:dyDescent="0.25">
      <c r="A14" s="6" t="s">
        <v>3</v>
      </c>
      <c r="B14" s="7">
        <v>15864</v>
      </c>
      <c r="C14" s="7">
        <v>12786</v>
      </c>
      <c r="D14" s="7">
        <v>13883</v>
      </c>
      <c r="E14" s="7">
        <v>13671</v>
      </c>
      <c r="F14" s="7">
        <v>14706</v>
      </c>
      <c r="G14" s="9">
        <f t="shared" si="1"/>
        <v>-1.1947503140844279E-2</v>
      </c>
      <c r="I14" s="4">
        <f t="shared" si="2"/>
        <v>-0.19402420574886536</v>
      </c>
      <c r="J14" s="4">
        <f t="shared" si="3"/>
        <v>8.5796965430940064E-2</v>
      </c>
      <c r="K14" s="4">
        <f t="shared" si="4"/>
        <v>-1.5270474681264856E-2</v>
      </c>
      <c r="L14" s="2">
        <f t="shared" si="5"/>
        <v>7.570770243581304E-2</v>
      </c>
      <c r="M14" s="5">
        <f t="shared" si="6"/>
        <v>-1.1947503140844279E-2</v>
      </c>
      <c r="O14">
        <v>13365</v>
      </c>
    </row>
    <row r="15" spans="1:15" x14ac:dyDescent="0.25">
      <c r="A15" s="6" t="s">
        <v>4</v>
      </c>
      <c r="B15" s="9">
        <f>B14/B10</f>
        <v>9.557087088534387E-2</v>
      </c>
      <c r="C15" s="9">
        <f>C14/C10</f>
        <v>7.2987783993606573E-2</v>
      </c>
      <c r="D15" s="9">
        <f>D14/D10</f>
        <v>7.5561554664155747E-2</v>
      </c>
      <c r="E15" s="9">
        <f>E14/E10</f>
        <v>6.7045928250901152E-2</v>
      </c>
      <c r="F15" s="9">
        <f>F14/F10</f>
        <v>7.1318415922250994E-2</v>
      </c>
      <c r="G15" s="9">
        <f t="shared" si="1"/>
        <v>-6.2501701571158391E-2</v>
      </c>
      <c r="I15" s="4">
        <f t="shared" si="2"/>
        <v>-0.23629675739619627</v>
      </c>
      <c r="J15" s="4">
        <f t="shared" si="3"/>
        <v>3.5263033479337125E-2</v>
      </c>
      <c r="K15" s="4">
        <f t="shared" si="4"/>
        <v>-0.11269787196813941</v>
      </c>
      <c r="L15" s="2">
        <f t="shared" si="5"/>
        <v>6.3724789600364984E-2</v>
      </c>
      <c r="M15" s="5">
        <f t="shared" si="6"/>
        <v>-6.2501701571158391E-2</v>
      </c>
      <c r="O15">
        <v>9252</v>
      </c>
    </row>
    <row r="16" spans="1:15" x14ac:dyDescent="0.25">
      <c r="A16" s="6" t="s">
        <v>19</v>
      </c>
      <c r="B16" s="9">
        <f>B14/B9</f>
        <v>1.0373576935400551E-2</v>
      </c>
      <c r="C16" s="9">
        <f>C14/C9</f>
        <v>8.0164617722738012E-3</v>
      </c>
      <c r="D16" s="9">
        <f>D14/D9</f>
        <v>8.1361085455218876E-3</v>
      </c>
      <c r="E16" s="9">
        <f>E14/E9</f>
        <v>7.7147108831540981E-3</v>
      </c>
      <c r="F16" s="9">
        <f>F14/F9</f>
        <v>7.7845604629447297E-3</v>
      </c>
      <c r="G16" s="9">
        <f t="shared" si="1"/>
        <v>-6.3759323441335725E-2</v>
      </c>
      <c r="I16" s="4">
        <f t="shared" si="2"/>
        <v>-0.22722298950547437</v>
      </c>
      <c r="J16" s="4">
        <f t="shared" si="3"/>
        <v>1.49251348845576E-2</v>
      </c>
      <c r="K16" s="4">
        <f t="shared" si="4"/>
        <v>-5.1793515291745584E-2</v>
      </c>
      <c r="L16" s="2">
        <f t="shared" si="5"/>
        <v>9.0540761473194564E-3</v>
      </c>
      <c r="M16" s="5">
        <f t="shared" si="6"/>
        <v>-6.3759323441335725E-2</v>
      </c>
      <c r="O16">
        <v>1876</v>
      </c>
    </row>
    <row r="17" spans="1:16" x14ac:dyDescent="0.25">
      <c r="A17" s="21" t="s">
        <v>26</v>
      </c>
      <c r="B17" s="9"/>
      <c r="C17" s="9">
        <f>(C16*((C10-B10)/C14))/(1-C16*((C10-B10)/C14))</f>
        <v>5.793994122766084E-3</v>
      </c>
      <c r="D17" s="9">
        <f>(D16*((D10-C10)/D14))/(1-D16*((D10-C10)/D14))</f>
        <v>5.0365386121865273E-3</v>
      </c>
      <c r="E17" s="9">
        <f>(E16*((E10-D10)/E14))/(1-E16*((E10-D10)/E14))</f>
        <v>1.151553032573299E-2</v>
      </c>
      <c r="F17" s="9">
        <f>(F16*((F10-E10)/F14))/(1-F16*((F10-E10)/F14))</f>
        <v>1.2173877096310366E-3</v>
      </c>
      <c r="G17" s="9"/>
      <c r="I17" s="4"/>
      <c r="J17" s="4">
        <f>D17/C17-1</f>
        <v>-0.13073114927806373</v>
      </c>
      <c r="K17" s="4">
        <f>E17/D17-1</f>
        <v>1.28639770533472</v>
      </c>
      <c r="L17" s="2">
        <f t="shared" ref="L17:L19" si="11">F17/E17-1</f>
        <v>-0.89428296611658253</v>
      </c>
      <c r="M17" s="5">
        <f t="shared" ref="M17:M19" si="12">AVERAGE(I17:L17)</f>
        <v>8.7127863313357937E-2</v>
      </c>
    </row>
    <row r="18" spans="1:16" x14ac:dyDescent="0.25">
      <c r="A18" s="21" t="s">
        <v>25</v>
      </c>
      <c r="B18" s="9"/>
      <c r="C18" s="9">
        <f>(C15*((C10-B10)/C14))/(1-C16*((C10-B10)/C14))</f>
        <v>5.275279836739339E-2</v>
      </c>
      <c r="D18" s="9">
        <f>(D15*((D10-C10)/D14))/(1-D16*((D10-C10)/D14))</f>
        <v>4.6775271683454654E-2</v>
      </c>
      <c r="E18" s="9">
        <f>(E15*((E10-D10)/E14))/(1-E16*((E10-D10)/E14))</f>
        <v>0.1000775572388678</v>
      </c>
      <c r="F18" s="9">
        <f>(F15*((F10-E10)/F14))/(1-F16*((F10-E10)/F14))</f>
        <v>1.1153123342979323E-2</v>
      </c>
      <c r="G18" s="9"/>
      <c r="I18" s="4"/>
      <c r="J18" s="4">
        <f t="shared" ref="J18:J19" si="13">D18/C18-1</f>
        <v>-0.1133120302416688</v>
      </c>
      <c r="K18" s="4">
        <f t="shared" ref="K18:K19" si="14">E18/D18-1</f>
        <v>1.1395398388304225</v>
      </c>
      <c r="L18" s="2">
        <f t="shared" si="11"/>
        <v>-0.88855520007988653</v>
      </c>
      <c r="M18" s="5">
        <f t="shared" si="12"/>
        <v>4.5890869502955733E-2</v>
      </c>
    </row>
    <row r="19" spans="1:16" x14ac:dyDescent="0.25">
      <c r="A19" s="6" t="s">
        <v>28</v>
      </c>
      <c r="B19" s="23">
        <v>37627184</v>
      </c>
      <c r="C19" s="23">
        <v>42776516</v>
      </c>
      <c r="D19" s="23">
        <v>45679644</v>
      </c>
      <c r="E19" s="23">
        <v>45299639</v>
      </c>
      <c r="F19" s="23">
        <v>47345820</v>
      </c>
      <c r="G19" s="9">
        <f t="shared" ref="G19" si="15">M19</f>
        <v>6.0392428831179346E-2</v>
      </c>
      <c r="I19" s="4">
        <f t="shared" ref="I19" si="16">C19/B19-1</f>
        <v>0.13685137851400198</v>
      </c>
      <c r="J19" s="4">
        <f t="shared" si="13"/>
        <v>6.7867331691996657E-2</v>
      </c>
      <c r="K19" s="4">
        <f t="shared" si="14"/>
        <v>-8.3189133435452867E-3</v>
      </c>
      <c r="L19" s="2">
        <f t="shared" si="11"/>
        <v>4.5169918462264036E-2</v>
      </c>
      <c r="M19" s="5">
        <f t="shared" si="12"/>
        <v>6.0392428831179346E-2</v>
      </c>
    </row>
    <row r="20" spans="1:16" x14ac:dyDescent="0.25">
      <c r="A20" s="6" t="s">
        <v>7</v>
      </c>
      <c r="B20" s="7">
        <v>3330710</v>
      </c>
      <c r="C20" s="7">
        <v>5720341</v>
      </c>
      <c r="D20" s="7">
        <v>7687918</v>
      </c>
      <c r="E20" s="7">
        <v>5576422</v>
      </c>
      <c r="F20" s="7">
        <v>7848375</v>
      </c>
      <c r="G20" s="9">
        <f>M20</f>
        <v>0.2985463733398358</v>
      </c>
      <c r="I20" s="4">
        <f>C20/B20-1</f>
        <v>0.71745393624782694</v>
      </c>
      <c r="J20" s="4">
        <f>D20/C20-1</f>
        <v>0.34396148761061629</v>
      </c>
      <c r="K20" s="4">
        <f>E20/D20-1</f>
        <v>-0.27465121246090296</v>
      </c>
      <c r="L20" s="2">
        <f>F20/E20-1</f>
        <v>0.40742128196180283</v>
      </c>
      <c r="M20" s="5">
        <f>AVERAGE(I20:L20)</f>
        <v>0.2985463733398358</v>
      </c>
      <c r="O20">
        <v>1405</v>
      </c>
    </row>
    <row r="21" spans="1:16" x14ac:dyDescent="0.25">
      <c r="A21" s="6" t="s">
        <v>8</v>
      </c>
      <c r="B21" s="6"/>
      <c r="C21" s="6">
        <f>O34</f>
        <v>110651</v>
      </c>
      <c r="D21" s="7">
        <v>170973</v>
      </c>
      <c r="E21" s="7">
        <v>173530</v>
      </c>
      <c r="F21" s="7">
        <v>247588</v>
      </c>
      <c r="G21" s="9">
        <f t="shared" ref="G21:G28" si="17">M21</f>
        <v>0.32896151174175009</v>
      </c>
      <c r="I21" s="4"/>
      <c r="J21" s="4">
        <f t="shared" ref="J21:J26" si="18">D21/C21-1</f>
        <v>0.54515548887944987</v>
      </c>
      <c r="K21" s="4">
        <f t="shared" ref="K21:K27" si="19">E21/D21-1</f>
        <v>1.4955577781287088E-2</v>
      </c>
      <c r="L21" s="2">
        <f t="shared" ref="L21:L28" si="20">F21/E21-1</f>
        <v>0.42677346856451326</v>
      </c>
      <c r="M21" s="5">
        <f t="shared" ref="M21:M28" si="21">AVERAGE(I21:L21)</f>
        <v>0.32896151174175009</v>
      </c>
      <c r="O21">
        <f>SUM(O9:O20)</f>
        <v>110247</v>
      </c>
    </row>
    <row r="22" spans="1:16" ht="60" x14ac:dyDescent="0.25">
      <c r="A22" s="20" t="s">
        <v>9</v>
      </c>
      <c r="B22" s="7">
        <v>11918819</v>
      </c>
      <c r="C22" s="7">
        <v>13060990</v>
      </c>
      <c r="D22" s="7">
        <v>13988057</v>
      </c>
      <c r="E22" s="7">
        <v>14924836</v>
      </c>
      <c r="F22" s="7">
        <v>15181788</v>
      </c>
      <c r="G22" s="9">
        <f t="shared" si="17"/>
        <v>6.2748842542622307E-2</v>
      </c>
      <c r="I22" s="4">
        <f t="shared" ref="I22:I26" si="22">C22/B22-1</f>
        <v>9.5829209253030845E-2</v>
      </c>
      <c r="J22" s="4">
        <f t="shared" si="18"/>
        <v>7.0979841497466944E-2</v>
      </c>
      <c r="K22" s="4">
        <f t="shared" si="19"/>
        <v>6.6969915836059268E-2</v>
      </c>
      <c r="L22" s="2">
        <f t="shared" si="20"/>
        <v>1.7216403583932172E-2</v>
      </c>
      <c r="M22" s="5">
        <f t="shared" si="21"/>
        <v>6.2748842542622307E-2</v>
      </c>
    </row>
    <row r="23" spans="1:16" ht="60" x14ac:dyDescent="0.25">
      <c r="A23" s="20" t="s">
        <v>22</v>
      </c>
      <c r="B23" s="6"/>
      <c r="C23" s="7">
        <v>28730590</v>
      </c>
      <c r="D23" s="7">
        <v>30424561</v>
      </c>
      <c r="E23" s="7">
        <v>32564491</v>
      </c>
      <c r="F23" s="7">
        <v>35089710</v>
      </c>
      <c r="G23" s="13">
        <f t="shared" si="17"/>
        <v>6.8947104968861472E-2</v>
      </c>
      <c r="I23" s="4"/>
      <c r="J23" s="4">
        <f t="shared" si="18"/>
        <v>5.8960536487416393E-2</v>
      </c>
      <c r="K23" s="4">
        <f t="shared" si="19"/>
        <v>7.0335608129234783E-2</v>
      </c>
      <c r="L23" s="2">
        <f t="shared" si="20"/>
        <v>7.7545170289933241E-2</v>
      </c>
      <c r="M23" s="5">
        <f t="shared" si="21"/>
        <v>6.8947104968861472E-2</v>
      </c>
    </row>
    <row r="24" spans="1:16" ht="45" x14ac:dyDescent="0.25">
      <c r="A24" s="20" t="s">
        <v>21</v>
      </c>
      <c r="B24" s="6"/>
      <c r="C24" s="7">
        <v>5530041</v>
      </c>
      <c r="D24" s="7">
        <v>7687918</v>
      </c>
      <c r="E24" s="7">
        <v>8944401</v>
      </c>
      <c r="F24" s="7">
        <v>11205677</v>
      </c>
      <c r="G24" s="13">
        <f t="shared" si="17"/>
        <v>0.26882023207258626</v>
      </c>
      <c r="I24" s="4"/>
      <c r="J24" s="4">
        <f t="shared" si="18"/>
        <v>0.3902099460022086</v>
      </c>
      <c r="K24" s="4">
        <f t="shared" si="19"/>
        <v>0.16343605641995662</v>
      </c>
      <c r="L24" s="2">
        <f t="shared" si="20"/>
        <v>0.25281469379559351</v>
      </c>
      <c r="M24" s="5">
        <f>AVERAGE(I24:L24)</f>
        <v>0.26882023207258626</v>
      </c>
      <c r="O24">
        <v>19580</v>
      </c>
      <c r="P24">
        <v>63989</v>
      </c>
    </row>
    <row r="25" spans="1:16" ht="45" x14ac:dyDescent="0.25">
      <c r="A25" s="3" t="s">
        <v>10</v>
      </c>
      <c r="D25" s="1">
        <v>3136570</v>
      </c>
      <c r="G25" s="2" t="e">
        <f t="shared" si="17"/>
        <v>#DIV/0!</v>
      </c>
      <c r="I25" s="4" t="e">
        <f t="shared" si="22"/>
        <v>#DIV/0!</v>
      </c>
      <c r="J25" s="4" t="e">
        <f t="shared" si="18"/>
        <v>#DIV/0!</v>
      </c>
      <c r="K25" s="4">
        <f t="shared" si="19"/>
        <v>-1</v>
      </c>
      <c r="L25" s="2" t="e">
        <f t="shared" si="20"/>
        <v>#DIV/0!</v>
      </c>
      <c r="M25" s="5" t="e">
        <f t="shared" si="21"/>
        <v>#DIV/0!</v>
      </c>
      <c r="O25">
        <v>31769</v>
      </c>
      <c r="P25">
        <v>58369</v>
      </c>
    </row>
    <row r="26" spans="1:16" x14ac:dyDescent="0.25">
      <c r="A26" t="s">
        <v>12</v>
      </c>
      <c r="D26" s="1">
        <v>3107100</v>
      </c>
      <c r="E26" s="1">
        <v>5576422</v>
      </c>
      <c r="G26" s="2" t="e">
        <f t="shared" si="17"/>
        <v>#DIV/0!</v>
      </c>
      <c r="I26" s="4" t="e">
        <f t="shared" si="22"/>
        <v>#DIV/0!</v>
      </c>
      <c r="J26" s="4" t="e">
        <f t="shared" si="18"/>
        <v>#DIV/0!</v>
      </c>
      <c r="K26" s="4">
        <f t="shared" si="19"/>
        <v>0.79473528370506252</v>
      </c>
      <c r="L26" s="2">
        <f t="shared" si="20"/>
        <v>-1</v>
      </c>
      <c r="M26" s="5" t="e">
        <f t="shared" si="21"/>
        <v>#DIV/0!</v>
      </c>
      <c r="O26">
        <v>13769</v>
      </c>
      <c r="P26">
        <v>25285</v>
      </c>
    </row>
    <row r="27" spans="1:16" ht="30" x14ac:dyDescent="0.25">
      <c r="A27" s="20" t="s">
        <v>13</v>
      </c>
      <c r="B27" s="6"/>
      <c r="C27" s="6">
        <f>H45</f>
        <v>11173220</v>
      </c>
      <c r="D27" s="7">
        <v>23948294</v>
      </c>
      <c r="E27" s="7">
        <v>47702312</v>
      </c>
      <c r="F27" s="7">
        <v>89198501</v>
      </c>
      <c r="G27" s="13">
        <f t="shared" si="17"/>
        <v>0.93089329744918936</v>
      </c>
      <c r="I27" s="4"/>
      <c r="J27" s="4"/>
      <c r="K27" s="4">
        <f t="shared" si="19"/>
        <v>0.99188768936943905</v>
      </c>
      <c r="L27" s="2">
        <f t="shared" si="20"/>
        <v>0.86989890552893967</v>
      </c>
      <c r="M27" s="5">
        <f t="shared" si="21"/>
        <v>0.93089329744918936</v>
      </c>
      <c r="O27">
        <v>1405</v>
      </c>
      <c r="P27">
        <v>9176</v>
      </c>
    </row>
    <row r="28" spans="1:16" x14ac:dyDescent="0.25">
      <c r="A28" s="6" t="s">
        <v>14</v>
      </c>
      <c r="B28" s="6"/>
      <c r="C28" s="6"/>
      <c r="D28" s="6"/>
      <c r="E28" s="7">
        <v>2245595</v>
      </c>
      <c r="F28" s="7">
        <v>3654560</v>
      </c>
      <c r="G28" s="13">
        <f t="shared" si="17"/>
        <v>0.62743504505487402</v>
      </c>
      <c r="I28" s="4"/>
      <c r="J28" s="4"/>
      <c r="K28" s="4"/>
      <c r="L28" s="2">
        <f t="shared" si="20"/>
        <v>0.62743504505487402</v>
      </c>
      <c r="M28" s="5">
        <f t="shared" si="21"/>
        <v>0.62743504505487402</v>
      </c>
      <c r="O28">
        <v>9252</v>
      </c>
      <c r="P28">
        <v>5106</v>
      </c>
    </row>
    <row r="29" spans="1:16" x14ac:dyDescent="0.25">
      <c r="O29">
        <v>1876</v>
      </c>
      <c r="P29">
        <v>3886</v>
      </c>
    </row>
    <row r="30" spans="1:16" x14ac:dyDescent="0.25">
      <c r="O30">
        <v>33000</v>
      </c>
      <c r="P30">
        <v>2250</v>
      </c>
    </row>
    <row r="31" spans="1:16" x14ac:dyDescent="0.25">
      <c r="P31">
        <v>1966</v>
      </c>
    </row>
    <row r="32" spans="1:16" x14ac:dyDescent="0.25">
      <c r="P32">
        <v>946</v>
      </c>
    </row>
    <row r="33" spans="8:16" x14ac:dyDescent="0.25">
      <c r="P33">
        <v>389</v>
      </c>
    </row>
    <row r="34" spans="8:16" x14ac:dyDescent="0.25">
      <c r="O34">
        <f>SUM(O24:O33)</f>
        <v>110651</v>
      </c>
      <c r="P34">
        <f>SUM(P24:P33)</f>
        <v>171362</v>
      </c>
    </row>
    <row r="37" spans="8:16" x14ac:dyDescent="0.25">
      <c r="H37">
        <v>5771629</v>
      </c>
    </row>
    <row r="38" spans="8:16" x14ac:dyDescent="0.25">
      <c r="H38">
        <v>2177142</v>
      </c>
    </row>
    <row r="39" spans="8:16" x14ac:dyDescent="0.25">
      <c r="H39">
        <v>1670228</v>
      </c>
    </row>
    <row r="40" spans="8:16" x14ac:dyDescent="0.25">
      <c r="H40">
        <v>564000</v>
      </c>
    </row>
    <row r="41" spans="8:16" x14ac:dyDescent="0.25">
      <c r="H41">
        <v>321044</v>
      </c>
    </row>
    <row r="42" spans="8:16" x14ac:dyDescent="0.25">
      <c r="H42">
        <v>256285</v>
      </c>
    </row>
    <row r="43" spans="8:16" x14ac:dyDescent="0.25">
      <c r="H43">
        <v>221000</v>
      </c>
    </row>
    <row r="44" spans="8:16" x14ac:dyDescent="0.25">
      <c r="H44">
        <v>191892</v>
      </c>
    </row>
    <row r="45" spans="8:16" x14ac:dyDescent="0.25">
      <c r="H45">
        <f>SUM(H37:H44)</f>
        <v>11173220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9DD7B-D450-42AE-A5A3-A5941D652A2D}">
  <dimension ref="A1:O44"/>
  <sheetViews>
    <sheetView showGridLines="0" topLeftCell="A7" zoomScale="70" zoomScaleNormal="70" workbookViewId="0">
      <selection activeCell="R14" sqref="R14"/>
    </sheetView>
  </sheetViews>
  <sheetFormatPr defaultRowHeight="15" x14ac:dyDescent="0.25"/>
  <cols>
    <col min="1" max="1" width="6.140625" style="30" customWidth="1"/>
    <col min="2" max="2" width="44.5703125" style="30" customWidth="1"/>
    <col min="3" max="3" width="14.42578125" style="30" bestFit="1" customWidth="1"/>
    <col min="4" max="4" width="12.42578125" style="30" customWidth="1"/>
    <col min="5" max="5" width="15.28515625" style="30" customWidth="1"/>
    <col min="6" max="6" width="13.85546875" style="30" customWidth="1"/>
    <col min="7" max="7" width="15" style="30" customWidth="1"/>
    <col min="8" max="8" width="10.42578125" style="33" customWidth="1"/>
    <col min="9" max="9" width="9.140625" style="30"/>
    <col min="10" max="10" width="14.5703125" style="30" customWidth="1"/>
    <col min="11" max="14" width="9.140625" style="30"/>
    <col min="15" max="15" width="9.140625" style="33"/>
    <col min="16" max="16384" width="9.140625" style="30"/>
  </cols>
  <sheetData>
    <row r="1" spans="1:15" s="38" customFormat="1" ht="15" customHeight="1" x14ac:dyDescent="0.25">
      <c r="B1" s="81" t="s">
        <v>38</v>
      </c>
      <c r="C1" s="82">
        <v>2014</v>
      </c>
      <c r="D1" s="82">
        <v>2015</v>
      </c>
      <c r="E1" s="82">
        <v>2016</v>
      </c>
      <c r="F1" s="82">
        <v>2017</v>
      </c>
      <c r="G1" s="82">
        <v>2018</v>
      </c>
      <c r="H1" s="32" t="s">
        <v>6</v>
      </c>
      <c r="K1" s="81">
        <f>D1</f>
        <v>2015</v>
      </c>
      <c r="L1" s="81">
        <f t="shared" ref="L1" si="0">E1</f>
        <v>2016</v>
      </c>
      <c r="M1" s="81">
        <f t="shared" ref="M1" si="1">F1</f>
        <v>2017</v>
      </c>
      <c r="N1" s="81">
        <f t="shared" ref="N1" si="2">G1</f>
        <v>2018</v>
      </c>
      <c r="O1" s="33"/>
    </row>
    <row r="2" spans="1:15" ht="15" customHeight="1" x14ac:dyDescent="0.25">
      <c r="B2" s="30" t="s">
        <v>0</v>
      </c>
      <c r="C2" s="34">
        <v>124503</v>
      </c>
      <c r="D2" s="34">
        <v>122786</v>
      </c>
      <c r="E2" s="34">
        <v>119816</v>
      </c>
      <c r="F2" s="34">
        <v>115505</v>
      </c>
      <c r="G2" s="34">
        <v>110998</v>
      </c>
      <c r="H2" s="35">
        <f>AVERAGE(K2:N2)</f>
        <v>-2.8244845794845458E-2</v>
      </c>
      <c r="K2" s="36">
        <f t="shared" ref="K2:N3" si="3">D2/C2-1</f>
        <v>-1.3790832349421245E-2</v>
      </c>
      <c r="L2" s="36">
        <f t="shared" si="3"/>
        <v>-2.4188425390516799E-2</v>
      </c>
      <c r="M2" s="36">
        <f t="shared" si="3"/>
        <v>-3.5980169593376465E-2</v>
      </c>
      <c r="N2" s="37">
        <f t="shared" si="3"/>
        <v>-3.9019955846067322E-2</v>
      </c>
      <c r="O2" s="30"/>
    </row>
    <row r="3" spans="1:15" ht="15" customHeight="1" x14ac:dyDescent="0.25">
      <c r="B3" s="44" t="s">
        <v>1</v>
      </c>
      <c r="C3" s="44">
        <v>7566</v>
      </c>
      <c r="D3" s="44">
        <v>7261</v>
      </c>
      <c r="E3" s="44">
        <v>6462</v>
      </c>
      <c r="F3" s="44">
        <v>5992</v>
      </c>
      <c r="G3" s="44">
        <v>5651</v>
      </c>
      <c r="H3" s="46">
        <f>AVERAGE(K3:N3)</f>
        <v>-6.9998493367875253E-2</v>
      </c>
      <c r="K3" s="47">
        <f t="shared" si="3"/>
        <v>-4.0311921755220692E-2</v>
      </c>
      <c r="L3" s="47">
        <f t="shared" si="3"/>
        <v>-0.11003993940228618</v>
      </c>
      <c r="M3" s="47">
        <f t="shared" si="3"/>
        <v>-7.2732900030950121E-2</v>
      </c>
      <c r="N3" s="48">
        <f t="shared" si="3"/>
        <v>-5.6909212283044019E-2</v>
      </c>
      <c r="O3" s="30"/>
    </row>
    <row r="4" spans="1:15" s="38" customFormat="1" ht="15" customHeight="1" x14ac:dyDescent="0.25">
      <c r="H4" s="35"/>
      <c r="K4" s="39"/>
      <c r="L4" s="39"/>
      <c r="M4" s="39"/>
      <c r="N4" s="40"/>
    </row>
    <row r="5" spans="1:15" s="38" customFormat="1" ht="15" customHeight="1" x14ac:dyDescent="0.25">
      <c r="B5" s="81" t="s">
        <v>38</v>
      </c>
      <c r="C5" s="82">
        <v>2014</v>
      </c>
      <c r="D5" s="82">
        <v>2015</v>
      </c>
      <c r="E5" s="82">
        <v>2016</v>
      </c>
      <c r="F5" s="82">
        <v>2017</v>
      </c>
      <c r="G5" s="82">
        <v>2018</v>
      </c>
      <c r="H5" s="32" t="str">
        <f>H1</f>
        <v>CAGR</v>
      </c>
      <c r="K5" s="81">
        <f>D5</f>
        <v>2015</v>
      </c>
      <c r="L5" s="81">
        <f>E5</f>
        <v>2016</v>
      </c>
      <c r="M5" s="81">
        <f>F5</f>
        <v>2017</v>
      </c>
      <c r="N5" s="81">
        <f>G5</f>
        <v>2018</v>
      </c>
      <c r="O5" s="33"/>
    </row>
    <row r="6" spans="1:15" ht="15" customHeight="1" x14ac:dyDescent="0.25">
      <c r="A6" s="120" t="s">
        <v>33</v>
      </c>
      <c r="B6" s="30" t="s">
        <v>23</v>
      </c>
      <c r="C6" s="41">
        <v>172429</v>
      </c>
      <c r="D6" s="41">
        <v>170318</v>
      </c>
      <c r="E6" s="41">
        <v>168492</v>
      </c>
      <c r="F6" s="41">
        <v>164024</v>
      </c>
      <c r="G6" s="42"/>
      <c r="H6" s="35">
        <f>AVERAGE(K6:N6)</f>
        <v>-1.6493807109419056E-2</v>
      </c>
      <c r="K6" s="36">
        <f t="shared" ref="K6:M8" si="4">D6/C6-1</f>
        <v>-1.224272019207906E-2</v>
      </c>
      <c r="L6" s="36">
        <f t="shared" si="4"/>
        <v>-1.072112166652972E-2</v>
      </c>
      <c r="M6" s="36">
        <f t="shared" si="4"/>
        <v>-2.6517579469648389E-2</v>
      </c>
      <c r="N6" s="43"/>
    </row>
    <row r="7" spans="1:15" ht="15" customHeight="1" x14ac:dyDescent="0.25">
      <c r="A7" s="118"/>
      <c r="B7" s="33" t="s">
        <v>24</v>
      </c>
      <c r="C7" s="41">
        <v>72758</v>
      </c>
      <c r="D7" s="41">
        <v>74191</v>
      </c>
      <c r="E7" s="41">
        <v>76375</v>
      </c>
      <c r="F7" s="41">
        <v>76896</v>
      </c>
      <c r="G7" s="42"/>
      <c r="H7" s="35">
        <f>AVERAGE(K7:N7)</f>
        <v>1.8651521821252848E-2</v>
      </c>
      <c r="K7" s="36">
        <f t="shared" si="4"/>
        <v>1.9695428681382188E-2</v>
      </c>
      <c r="L7" s="36">
        <f t="shared" si="4"/>
        <v>2.9437532854389437E-2</v>
      </c>
      <c r="M7" s="36">
        <f t="shared" si="4"/>
        <v>6.8216039279869189E-3</v>
      </c>
      <c r="N7" s="43"/>
    </row>
    <row r="8" spans="1:15" ht="15" customHeight="1" x14ac:dyDescent="0.25">
      <c r="A8" s="118"/>
      <c r="B8" s="30" t="s">
        <v>20</v>
      </c>
      <c r="C8" s="41">
        <v>7347</v>
      </c>
      <c r="D8" s="41">
        <v>7214</v>
      </c>
      <c r="E8" s="41">
        <v>7043</v>
      </c>
      <c r="F8" s="41">
        <v>6636</v>
      </c>
      <c r="G8" s="42"/>
      <c r="H8" s="35">
        <f>AVERAGE(K8:N8)</f>
        <v>-3.3198136824521142E-2</v>
      </c>
      <c r="K8" s="36">
        <f t="shared" si="4"/>
        <v>-1.8102626922553378E-2</v>
      </c>
      <c r="L8" s="36">
        <f t="shared" si="4"/>
        <v>-2.370390906570552E-2</v>
      </c>
      <c r="M8" s="36">
        <f t="shared" si="4"/>
        <v>-5.7787874485304536E-2</v>
      </c>
      <c r="N8" s="43"/>
    </row>
    <row r="9" spans="1:15" ht="15" customHeight="1" x14ac:dyDescent="0.25">
      <c r="A9" s="119"/>
      <c r="B9" s="44" t="s">
        <v>28</v>
      </c>
      <c r="C9" s="45">
        <v>37627184</v>
      </c>
      <c r="D9" s="45">
        <v>42776516</v>
      </c>
      <c r="E9" s="45">
        <v>45002358</v>
      </c>
      <c r="F9" s="45">
        <v>45299639</v>
      </c>
      <c r="G9" s="45">
        <v>47345820</v>
      </c>
      <c r="H9" s="46">
        <f>AVERAGE(K9:N9)</f>
        <v>6.0165350051956223E-2</v>
      </c>
      <c r="K9" s="47">
        <f t="shared" ref="K9" si="5">D9/C9-1</f>
        <v>0.13685137851400198</v>
      </c>
      <c r="L9" s="47">
        <f>E9/D9-1</f>
        <v>5.2034204936185047E-2</v>
      </c>
      <c r="M9" s="47">
        <f>F9/E9-1</f>
        <v>6.6058982953738354E-3</v>
      </c>
      <c r="N9" s="48">
        <f>G9/F9-1</f>
        <v>4.5169918462264036E-2</v>
      </c>
    </row>
    <row r="10" spans="1:15" ht="15" customHeight="1" x14ac:dyDescent="0.25">
      <c r="A10" s="49"/>
      <c r="C10" s="41"/>
      <c r="D10" s="41"/>
      <c r="E10" s="41"/>
      <c r="F10" s="41"/>
      <c r="G10" s="41"/>
      <c r="H10" s="35"/>
      <c r="K10" s="36"/>
      <c r="L10" s="36"/>
      <c r="M10" s="36"/>
      <c r="N10" s="37"/>
    </row>
    <row r="11" spans="1:15" s="38" customFormat="1" ht="15" customHeight="1" x14ac:dyDescent="0.25">
      <c r="A11" s="83"/>
      <c r="B11" s="81" t="s">
        <v>38</v>
      </c>
      <c r="C11" s="84">
        <f>C5</f>
        <v>2014</v>
      </c>
      <c r="D11" s="84">
        <f t="shared" ref="D11:G11" si="6">D5</f>
        <v>2015</v>
      </c>
      <c r="E11" s="84">
        <f t="shared" si="6"/>
        <v>2016</v>
      </c>
      <c r="F11" s="84">
        <f t="shared" si="6"/>
        <v>2017</v>
      </c>
      <c r="G11" s="84">
        <f t="shared" si="6"/>
        <v>2018</v>
      </c>
      <c r="H11" s="32" t="str">
        <f>H5</f>
        <v>CAGR</v>
      </c>
      <c r="K11" s="81">
        <f>D11</f>
        <v>2015</v>
      </c>
      <c r="L11" s="81">
        <f t="shared" ref="L11" si="7">E11</f>
        <v>2016</v>
      </c>
      <c r="M11" s="81">
        <f t="shared" ref="M11" si="8">F11</f>
        <v>2017</v>
      </c>
      <c r="N11" s="81">
        <f t="shared" ref="N11" si="9">G11</f>
        <v>2018</v>
      </c>
      <c r="O11" s="33"/>
    </row>
    <row r="12" spans="1:15" ht="15" customHeight="1" x14ac:dyDescent="0.25">
      <c r="A12" s="121" t="s">
        <v>31</v>
      </c>
      <c r="B12" s="30" t="s">
        <v>84</v>
      </c>
      <c r="C12" s="106">
        <f>165992/1000</f>
        <v>165.99199999999999</v>
      </c>
      <c r="D12" s="106">
        <f>175180/1000</f>
        <v>175.18</v>
      </c>
      <c r="E12" s="106">
        <f>183731/1000</f>
        <v>183.73099999999999</v>
      </c>
      <c r="F12" s="106">
        <f>203905/1000</f>
        <v>203.905</v>
      </c>
      <c r="G12" s="106">
        <f>206202/1000</f>
        <v>206.202</v>
      </c>
      <c r="H12" s="35">
        <f t="shared" ref="H12:H17" si="10">AVERAGE(K12:N12)</f>
        <v>5.6307898688850333E-2</v>
      </c>
      <c r="K12" s="36">
        <f t="shared" ref="K12:N17" si="11">D12/C12-1</f>
        <v>5.5352065159766761E-2</v>
      </c>
      <c r="L12" s="36">
        <f t="shared" si="11"/>
        <v>4.8812649845872746E-2</v>
      </c>
      <c r="M12" s="36">
        <f t="shared" si="11"/>
        <v>0.10980182984907283</v>
      </c>
      <c r="N12" s="37">
        <f t="shared" si="11"/>
        <v>1.1265049900688995E-2</v>
      </c>
    </row>
    <row r="13" spans="1:15" ht="15" customHeight="1" x14ac:dyDescent="0.25">
      <c r="A13" s="115"/>
      <c r="B13" s="30" t="s">
        <v>85</v>
      </c>
      <c r="C13" s="106">
        <f>1529270/1000</f>
        <v>1529.27</v>
      </c>
      <c r="D13" s="106">
        <f>1594968/1000</f>
        <v>1594.9680000000001</v>
      </c>
      <c r="E13" s="106">
        <f>1706344/1000</f>
        <v>1706.3440000000001</v>
      </c>
      <c r="F13" s="106">
        <f>1772069/1000</f>
        <v>1772.069</v>
      </c>
      <c r="G13" s="106">
        <f>1889124/1000</f>
        <v>1889.124</v>
      </c>
      <c r="H13" s="35">
        <f t="shared" si="10"/>
        <v>5.4340889904764711E-2</v>
      </c>
      <c r="K13" s="36">
        <f t="shared" si="11"/>
        <v>4.2960366710914411E-2</v>
      </c>
      <c r="L13" s="36">
        <f t="shared" si="11"/>
        <v>6.9829614136459162E-2</v>
      </c>
      <c r="M13" s="36">
        <f t="shared" si="11"/>
        <v>3.851802450150732E-2</v>
      </c>
      <c r="N13" s="37">
        <f t="shared" si="11"/>
        <v>6.6055554270177952E-2</v>
      </c>
    </row>
    <row r="14" spans="1:15" ht="15" customHeight="1" x14ac:dyDescent="0.25">
      <c r="A14" s="116"/>
      <c r="B14" s="30" t="s">
        <v>86</v>
      </c>
      <c r="C14" s="107">
        <f>57614/1000</f>
        <v>57.613999999999997</v>
      </c>
      <c r="D14" s="107">
        <f>55770/1000</f>
        <v>55.77</v>
      </c>
      <c r="E14" s="107">
        <f>59141/1000</f>
        <v>59.140999999999998</v>
      </c>
      <c r="F14" s="107">
        <f>63847/1000</f>
        <v>63.847000000000001</v>
      </c>
      <c r="G14" s="107">
        <f>64971/1000</f>
        <v>64.971000000000004</v>
      </c>
      <c r="H14" s="35">
        <f t="shared" si="10"/>
        <v>3.1403926705706936E-2</v>
      </c>
      <c r="K14" s="36">
        <f t="shared" si="11"/>
        <v>-3.2006109626132484E-2</v>
      </c>
      <c r="L14" s="36">
        <f t="shared" si="11"/>
        <v>6.044468352160659E-2</v>
      </c>
      <c r="M14" s="36">
        <f t="shared" si="11"/>
        <v>7.9572546964035151E-2</v>
      </c>
      <c r="N14" s="36">
        <f t="shared" si="11"/>
        <v>1.7604585963318486E-2</v>
      </c>
    </row>
    <row r="15" spans="1:15" ht="15" customHeight="1" x14ac:dyDescent="0.25">
      <c r="A15" s="116"/>
      <c r="B15" s="30" t="s">
        <v>30</v>
      </c>
      <c r="C15" s="107">
        <f>15864/1000</f>
        <v>15.864000000000001</v>
      </c>
      <c r="D15" s="107">
        <f>12786/1000</f>
        <v>12.786</v>
      </c>
      <c r="E15" s="107">
        <f>13883/1000</f>
        <v>13.882999999999999</v>
      </c>
      <c r="F15" s="107">
        <f>13671/1000</f>
        <v>13.670999999999999</v>
      </c>
      <c r="G15" s="107">
        <f>14706/1000</f>
        <v>14.706</v>
      </c>
      <c r="H15" s="35">
        <f t="shared" si="10"/>
        <v>-1.1947503140844307E-2</v>
      </c>
      <c r="K15" s="36">
        <f t="shared" si="11"/>
        <v>-0.19402420574886547</v>
      </c>
      <c r="L15" s="36">
        <f t="shared" si="11"/>
        <v>8.5796965430940064E-2</v>
      </c>
      <c r="M15" s="36">
        <f t="shared" si="11"/>
        <v>-1.5270474681264856E-2</v>
      </c>
      <c r="N15" s="37">
        <f t="shared" si="11"/>
        <v>7.570770243581304E-2</v>
      </c>
    </row>
    <row r="16" spans="1:15" ht="15" customHeight="1" x14ac:dyDescent="0.25">
      <c r="A16" s="116"/>
      <c r="B16" s="30" t="s">
        <v>4</v>
      </c>
      <c r="C16" s="50">
        <f>C15/C12</f>
        <v>9.5570870885343884E-2</v>
      </c>
      <c r="D16" s="50">
        <f>D15/D12</f>
        <v>7.2987783993606573E-2</v>
      </c>
      <c r="E16" s="50">
        <f>E15/E12</f>
        <v>7.5561554664155747E-2</v>
      </c>
      <c r="F16" s="50">
        <f>F15/F12</f>
        <v>6.7045928250901152E-2</v>
      </c>
      <c r="G16" s="50">
        <f>G15/G12</f>
        <v>7.1318415922250994E-2</v>
      </c>
      <c r="H16" s="35">
        <f t="shared" si="10"/>
        <v>-6.2501701571158419E-2</v>
      </c>
      <c r="K16" s="36">
        <f t="shared" si="11"/>
        <v>-0.23629675739619638</v>
      </c>
      <c r="L16" s="36">
        <f t="shared" si="11"/>
        <v>3.5263033479337125E-2</v>
      </c>
      <c r="M16" s="36">
        <f t="shared" si="11"/>
        <v>-0.11269787196813941</v>
      </c>
      <c r="N16" s="37">
        <f t="shared" si="11"/>
        <v>6.3724789600364984E-2</v>
      </c>
    </row>
    <row r="17" spans="1:15" ht="15" customHeight="1" x14ac:dyDescent="0.25">
      <c r="A17" s="117"/>
      <c r="B17" s="44" t="s">
        <v>19</v>
      </c>
      <c r="C17" s="51">
        <f>C15/C13</f>
        <v>1.0373576935400551E-2</v>
      </c>
      <c r="D17" s="51">
        <f>D15/D13</f>
        <v>8.0164617722738012E-3</v>
      </c>
      <c r="E17" s="51">
        <f>E15/E13</f>
        <v>8.1361085455218876E-3</v>
      </c>
      <c r="F17" s="51">
        <f>F15/F13</f>
        <v>7.7147108831540981E-3</v>
      </c>
      <c r="G17" s="51">
        <f>G15/G13</f>
        <v>7.7845604629447297E-3</v>
      </c>
      <c r="H17" s="46">
        <f t="shared" si="10"/>
        <v>-6.3759323441335725E-2</v>
      </c>
      <c r="K17" s="47">
        <f t="shared" si="11"/>
        <v>-0.22722298950547437</v>
      </c>
      <c r="L17" s="47">
        <f t="shared" si="11"/>
        <v>1.49251348845576E-2</v>
      </c>
      <c r="M17" s="47">
        <f t="shared" si="11"/>
        <v>-5.1793515291745584E-2</v>
      </c>
      <c r="N17" s="48">
        <f t="shared" si="11"/>
        <v>9.0540761473194564E-3</v>
      </c>
    </row>
    <row r="18" spans="1:15" ht="15" customHeight="1" x14ac:dyDescent="0.25">
      <c r="A18" s="52"/>
      <c r="C18" s="50"/>
      <c r="D18" s="50"/>
      <c r="E18" s="50"/>
      <c r="F18" s="50"/>
      <c r="G18" s="50"/>
      <c r="H18" s="35"/>
      <c r="K18" s="36"/>
      <c r="L18" s="36"/>
      <c r="M18" s="36"/>
      <c r="N18" s="37"/>
    </row>
    <row r="19" spans="1:15" s="38" customFormat="1" ht="15" customHeight="1" x14ac:dyDescent="0.25">
      <c r="A19" s="85"/>
      <c r="B19" s="81" t="str">
        <f t="shared" ref="B19:H19" si="12">B11</f>
        <v>Pozycja</v>
      </c>
      <c r="C19" s="81">
        <f t="shared" si="12"/>
        <v>2014</v>
      </c>
      <c r="D19" s="81">
        <f t="shared" si="12"/>
        <v>2015</v>
      </c>
      <c r="E19" s="81">
        <f t="shared" si="12"/>
        <v>2016</v>
      </c>
      <c r="F19" s="81">
        <f t="shared" si="12"/>
        <v>2017</v>
      </c>
      <c r="G19" s="81">
        <f t="shared" si="12"/>
        <v>2018</v>
      </c>
      <c r="H19" s="32" t="str">
        <f t="shared" si="12"/>
        <v>CAGR</v>
      </c>
      <c r="K19" s="81">
        <f>D19</f>
        <v>2015</v>
      </c>
      <c r="L19" s="81">
        <f t="shared" ref="L19" si="13">E19</f>
        <v>2016</v>
      </c>
      <c r="M19" s="81">
        <f t="shared" ref="M19" si="14">F19</f>
        <v>2017</v>
      </c>
      <c r="N19" s="81">
        <f t="shared" ref="N19" si="15">G19</f>
        <v>2018</v>
      </c>
      <c r="O19" s="33"/>
    </row>
    <row r="20" spans="1:15" ht="15" customHeight="1" x14ac:dyDescent="0.25">
      <c r="A20" s="121" t="s">
        <v>32</v>
      </c>
      <c r="B20" s="53" t="s">
        <v>13</v>
      </c>
      <c r="C20" s="54"/>
      <c r="D20" s="54"/>
      <c r="E20" s="41">
        <v>23948294</v>
      </c>
      <c r="F20" s="41">
        <v>47702312</v>
      </c>
      <c r="G20" s="41">
        <v>89198501</v>
      </c>
      <c r="H20" s="35">
        <f t="shared" ref="H20:H25" si="16">AVERAGE(K20:N20)</f>
        <v>0.93089329744918936</v>
      </c>
      <c r="K20" s="55"/>
      <c r="L20" s="55"/>
      <c r="M20" s="36">
        <f>F20/E20-1</f>
        <v>0.99188768936943905</v>
      </c>
      <c r="N20" s="37">
        <f>G20/F20-1</f>
        <v>0.86989890552893967</v>
      </c>
    </row>
    <row r="21" spans="1:15" ht="15" customHeight="1" x14ac:dyDescent="0.25">
      <c r="A21" s="115"/>
      <c r="B21" s="56" t="s">
        <v>14</v>
      </c>
      <c r="C21" s="57"/>
      <c r="D21" s="57"/>
      <c r="E21" s="57"/>
      <c r="F21" s="58">
        <v>2245595</v>
      </c>
      <c r="G21" s="58">
        <v>3654560</v>
      </c>
      <c r="H21" s="59">
        <f t="shared" si="16"/>
        <v>0.62743504505487402</v>
      </c>
      <c r="J21" s="56"/>
      <c r="K21" s="60"/>
      <c r="L21" s="60"/>
      <c r="M21" s="60"/>
      <c r="N21" s="61">
        <f>G21/F21-1</f>
        <v>0.62743504505487402</v>
      </c>
    </row>
    <row r="22" spans="1:15" ht="15" customHeight="1" x14ac:dyDescent="0.25">
      <c r="A22" s="115"/>
      <c r="B22" s="30" t="s">
        <v>8</v>
      </c>
      <c r="C22" s="54"/>
      <c r="D22" s="41">
        <v>110651</v>
      </c>
      <c r="E22" s="41">
        <v>170973</v>
      </c>
      <c r="F22" s="41">
        <v>173530</v>
      </c>
      <c r="G22" s="41">
        <v>247588</v>
      </c>
      <c r="H22" s="35">
        <f t="shared" si="16"/>
        <v>0.32896151174175009</v>
      </c>
      <c r="K22" s="55"/>
      <c r="L22" s="36">
        <f t="shared" ref="L22:M25" si="17">E22/D22-1</f>
        <v>0.54515548887944987</v>
      </c>
      <c r="M22" s="36">
        <f t="shared" si="17"/>
        <v>1.4955577781287088E-2</v>
      </c>
      <c r="N22" s="37">
        <f>G22/F22-1</f>
        <v>0.42677346856451326</v>
      </c>
    </row>
    <row r="23" spans="1:15" ht="15" customHeight="1" x14ac:dyDescent="0.25">
      <c r="A23" s="115"/>
      <c r="B23" s="53" t="s">
        <v>21</v>
      </c>
      <c r="C23" s="54"/>
      <c r="D23" s="41">
        <v>5530041</v>
      </c>
      <c r="E23" s="41">
        <v>7687918</v>
      </c>
      <c r="F23" s="41">
        <v>8944401</v>
      </c>
      <c r="G23" s="41">
        <v>11205677</v>
      </c>
      <c r="H23" s="35">
        <f t="shared" si="16"/>
        <v>0.26882023207258626</v>
      </c>
      <c r="K23" s="55"/>
      <c r="L23" s="36">
        <f t="shared" si="17"/>
        <v>0.3902099460022086</v>
      </c>
      <c r="M23" s="36">
        <f t="shared" si="17"/>
        <v>0.16343605641995662</v>
      </c>
      <c r="N23" s="37">
        <f>G23/F23-1</f>
        <v>0.25281469379559351</v>
      </c>
    </row>
    <row r="24" spans="1:15" ht="15" customHeight="1" x14ac:dyDescent="0.25">
      <c r="A24" s="116"/>
      <c r="B24" s="53" t="s">
        <v>22</v>
      </c>
      <c r="C24" s="54"/>
      <c r="D24" s="41">
        <v>28730590</v>
      </c>
      <c r="E24" s="41">
        <v>30424561</v>
      </c>
      <c r="F24" s="41">
        <v>32564491</v>
      </c>
      <c r="G24" s="41">
        <v>35089710</v>
      </c>
      <c r="H24" s="35">
        <f t="shared" si="16"/>
        <v>6.8947104968861472E-2</v>
      </c>
      <c r="K24" s="55"/>
      <c r="L24" s="36">
        <f t="shared" si="17"/>
        <v>5.8960536487416393E-2</v>
      </c>
      <c r="M24" s="36">
        <f t="shared" si="17"/>
        <v>7.0335608129234783E-2</v>
      </c>
      <c r="N24" s="37">
        <f>G24/F24-1</f>
        <v>7.7545170289933241E-2</v>
      </c>
    </row>
    <row r="25" spans="1:15" ht="15" customHeight="1" x14ac:dyDescent="0.25">
      <c r="A25" s="117"/>
      <c r="B25" s="53" t="s">
        <v>29</v>
      </c>
      <c r="C25" s="41">
        <v>11918819</v>
      </c>
      <c r="D25" s="41">
        <v>13060990</v>
      </c>
      <c r="E25" s="41">
        <v>13988057</v>
      </c>
      <c r="F25" s="41">
        <v>14924836</v>
      </c>
      <c r="G25" s="41">
        <v>15181788</v>
      </c>
      <c r="H25" s="46">
        <f t="shared" si="16"/>
        <v>6.2748842542622307E-2</v>
      </c>
      <c r="K25" s="47">
        <f t="shared" ref="K25" si="18">D25/C25-1</f>
        <v>9.5829209253030845E-2</v>
      </c>
      <c r="L25" s="47">
        <f t="shared" si="17"/>
        <v>7.0979841497466944E-2</v>
      </c>
      <c r="M25" s="47">
        <f t="shared" si="17"/>
        <v>6.6969915836059268E-2</v>
      </c>
      <c r="N25" s="48">
        <f>G25/F25-1</f>
        <v>1.7216403583932172E-2</v>
      </c>
    </row>
    <row r="26" spans="1:15" x14ac:dyDescent="0.25">
      <c r="B26" s="62" t="s">
        <v>39</v>
      </c>
      <c r="C26" s="31"/>
      <c r="D26" s="31"/>
      <c r="E26" s="31"/>
      <c r="F26" s="31"/>
      <c r="G26" s="31"/>
      <c r="H26" s="105">
        <f>PEARSON(H20:H25,H12:H17)</f>
        <v>0.89471543924412134</v>
      </c>
      <c r="I26" s="63"/>
      <c r="J26" s="63"/>
      <c r="K26" s="63"/>
      <c r="L26" s="63"/>
      <c r="M26" s="63"/>
      <c r="N26" s="63"/>
      <c r="O26" s="64"/>
    </row>
    <row r="27" spans="1:15" x14ac:dyDescent="0.25">
      <c r="B27" s="53"/>
      <c r="C27" s="65"/>
      <c r="D27" s="65"/>
      <c r="E27" s="65"/>
      <c r="F27" s="65"/>
      <c r="G27" s="65"/>
      <c r="H27" s="66"/>
      <c r="I27" s="63"/>
      <c r="J27" s="63"/>
      <c r="K27" s="63"/>
      <c r="L27" s="63"/>
      <c r="M27" s="63"/>
      <c r="N27" s="63"/>
      <c r="O27" s="64"/>
    </row>
    <row r="28" spans="1:15" ht="15" customHeight="1" x14ac:dyDescent="0.25">
      <c r="B28" s="38"/>
      <c r="C28" s="53"/>
      <c r="D28" s="39"/>
      <c r="E28" s="39"/>
      <c r="F28" s="39"/>
      <c r="G28" s="39"/>
      <c r="H28" s="66"/>
      <c r="K28" s="36"/>
      <c r="L28" s="36"/>
      <c r="M28" s="36"/>
      <c r="N28" s="37"/>
      <c r="O28" s="67"/>
    </row>
    <row r="29" spans="1:15" s="38" customFormat="1" x14ac:dyDescent="0.25">
      <c r="B29" s="86" t="s">
        <v>38</v>
      </c>
      <c r="C29" s="81">
        <f>C5</f>
        <v>2014</v>
      </c>
      <c r="D29" s="81">
        <f>D5</f>
        <v>2015</v>
      </c>
      <c r="E29" s="81">
        <f>E5</f>
        <v>2016</v>
      </c>
      <c r="F29" s="81">
        <f>F5</f>
        <v>2017</v>
      </c>
      <c r="G29" s="81">
        <f>G5</f>
        <v>2018</v>
      </c>
      <c r="H29" s="68" t="s">
        <v>35</v>
      </c>
      <c r="I29" s="82" t="s">
        <v>37</v>
      </c>
      <c r="L29" s="81">
        <f t="shared" ref="L29" si="19">E29</f>
        <v>2016</v>
      </c>
      <c r="M29" s="81">
        <f t="shared" ref="M29" si="20">F29</f>
        <v>2017</v>
      </c>
      <c r="N29" s="81">
        <f t="shared" ref="N29" si="21">G29</f>
        <v>2018</v>
      </c>
      <c r="O29" s="68" t="str">
        <f>H19</f>
        <v>CAGR</v>
      </c>
    </row>
    <row r="30" spans="1:15" ht="15" customHeight="1" x14ac:dyDescent="0.25">
      <c r="B30" s="38" t="s">
        <v>34</v>
      </c>
      <c r="C30" s="69"/>
      <c r="D30" s="70">
        <f>D14/C14-1</f>
        <v>-3.2006109626132484E-2</v>
      </c>
      <c r="E30" s="70">
        <f>E14/D14-1</f>
        <v>6.044468352160659E-2</v>
      </c>
      <c r="F30" s="70">
        <f>F14/E14-1</f>
        <v>7.9572546964035151E-2</v>
      </c>
      <c r="G30" s="70">
        <f>G14/F14-1</f>
        <v>1.7604585963318486E-2</v>
      </c>
      <c r="H30" s="71">
        <f>AVERAGE(D30:G30)</f>
        <v>3.1403926705706936E-2</v>
      </c>
      <c r="I30" s="70">
        <f>STDEVA(D30:G30)</f>
        <v>4.9581031475625786E-2</v>
      </c>
      <c r="K30" s="36"/>
      <c r="L30" s="36">
        <f>E30/D30-1</f>
        <v>-2.8885357898122819</v>
      </c>
      <c r="M30" s="36">
        <f t="shared" ref="L30:N32" si="22">F30/E30-1</f>
        <v>0.31645237145779914</v>
      </c>
      <c r="N30" s="37">
        <f t="shared" si="22"/>
        <v>-0.77876055706404212</v>
      </c>
      <c r="O30" s="67">
        <f>AVERAGE(L30:N30)</f>
        <v>-1.1169479918061749</v>
      </c>
    </row>
    <row r="31" spans="1:15" ht="15" customHeight="1" x14ac:dyDescent="0.25">
      <c r="B31" s="38" t="s">
        <v>26</v>
      </c>
      <c r="C31" s="55"/>
      <c r="D31" s="50">
        <f>(D17*((D12-C12)/D15))/(1-D17*((D12-C12)/D15))</f>
        <v>5.7939941227660944E-3</v>
      </c>
      <c r="E31" s="50">
        <f>(E17*((E12-D12)/E15))/(1-E17*((E12-D12)/E15))</f>
        <v>5.0365386121865204E-3</v>
      </c>
      <c r="F31" s="50">
        <f>(F17*((F12-E12)/F15))/(1-F17*((F12-E12)/F15))</f>
        <v>1.1515530325732996E-2</v>
      </c>
      <c r="G31" s="50">
        <f>(G17*((G12-F12)/G15))/(1-G17*((G12-F12)/G15))</f>
        <v>1.217387709631035E-3</v>
      </c>
      <c r="H31" s="71">
        <f t="shared" ref="H31:H32" si="23">AVERAGE(D31:G31)</f>
        <v>5.8908626925791609E-3</v>
      </c>
      <c r="I31" s="70">
        <f t="shared" ref="I31:I32" si="24">STDEVA(D31:G31)</f>
        <v>4.2511766039473016E-3</v>
      </c>
      <c r="K31" s="36"/>
      <c r="L31" s="36">
        <f t="shared" si="22"/>
        <v>-0.13073114927806651</v>
      </c>
      <c r="M31" s="36">
        <f t="shared" si="22"/>
        <v>1.286397705334724</v>
      </c>
      <c r="N31" s="37">
        <f t="shared" si="22"/>
        <v>-0.89428296611658264</v>
      </c>
      <c r="O31" s="67">
        <f t="shared" ref="O31:O32" si="25">AVERAGE(L31:N31)</f>
        <v>8.712786331335827E-2</v>
      </c>
    </row>
    <row r="32" spans="1:15" ht="15" customHeight="1" x14ac:dyDescent="0.25">
      <c r="B32" s="38" t="s">
        <v>25</v>
      </c>
      <c r="C32" s="55"/>
      <c r="D32" s="50">
        <f>(D16*((D12-C12)/D15))/(1-D17*((D12-C12)/D15))</f>
        <v>5.2752798367393487E-2</v>
      </c>
      <c r="E32" s="50">
        <f>(E16*((E12-D12)/E15))/(1-E17*((E12-D12)/E15))</f>
        <v>4.6775271683454592E-2</v>
      </c>
      <c r="F32" s="50">
        <f>(F16*((F12-E12)/F15))/(1-F17*((F12-E12)/F15))</f>
        <v>0.10007755723886783</v>
      </c>
      <c r="G32" s="50">
        <f>(G16*((G12-F12)/G15))/(1-G17*((G12-F12)/G15))</f>
        <v>1.1153123342979309E-2</v>
      </c>
      <c r="H32" s="71">
        <f t="shared" si="23"/>
        <v>5.2689687658173799E-2</v>
      </c>
      <c r="I32" s="70">
        <f t="shared" si="24"/>
        <v>3.6541668716643612E-2</v>
      </c>
      <c r="K32" s="36"/>
      <c r="L32" s="47">
        <f t="shared" si="22"/>
        <v>-0.11331203024167158</v>
      </c>
      <c r="M32" s="47">
        <f t="shared" si="22"/>
        <v>1.1395398388304261</v>
      </c>
      <c r="N32" s="48">
        <f t="shared" si="22"/>
        <v>-0.88855520007988675</v>
      </c>
      <c r="O32" s="67">
        <f t="shared" si="25"/>
        <v>4.5890869502955955E-2</v>
      </c>
    </row>
    <row r="33" spans="2:9" x14ac:dyDescent="0.25">
      <c r="B33" s="72" t="s">
        <v>36</v>
      </c>
      <c r="C33" s="73"/>
      <c r="D33" s="73"/>
      <c r="E33" s="73"/>
      <c r="F33" s="73"/>
      <c r="G33" s="73"/>
      <c r="H33" s="74">
        <f>STDEV(H30:H32)</f>
        <v>2.3431211637556865E-2</v>
      </c>
      <c r="I33" s="31"/>
    </row>
    <row r="34" spans="2:9" x14ac:dyDescent="0.25">
      <c r="G34" s="75"/>
      <c r="H34" s="76"/>
    </row>
    <row r="35" spans="2:9" x14ac:dyDescent="0.25">
      <c r="B35" s="30" t="s">
        <v>79</v>
      </c>
    </row>
    <row r="36" spans="2:9" ht="17.25" x14ac:dyDescent="0.25">
      <c r="B36" s="98" t="s">
        <v>38</v>
      </c>
      <c r="C36" s="99" t="s">
        <v>73</v>
      </c>
      <c r="D36" s="99" t="s">
        <v>74</v>
      </c>
      <c r="E36" s="99" t="s">
        <v>75</v>
      </c>
    </row>
    <row r="37" spans="2:9" x14ac:dyDescent="0.25">
      <c r="B37" s="30" t="s">
        <v>76</v>
      </c>
      <c r="C37" s="80">
        <f>PEARSON(H20:H25,H12:H17)</f>
        <v>0.89471543924412134</v>
      </c>
      <c r="D37" s="100">
        <f>RSQ(H20:H25,H12:H17)</f>
        <v>0.80051571722180115</v>
      </c>
      <c r="E37" s="80">
        <f>_xlfn.F.TEST(H20:H25,H12:H17)</f>
        <v>1.1189023874079911E-3</v>
      </c>
      <c r="F37" s="77"/>
    </row>
    <row r="38" spans="2:9" x14ac:dyDescent="0.25">
      <c r="B38" s="98" t="s">
        <v>38</v>
      </c>
      <c r="C38" s="99" t="s">
        <v>77</v>
      </c>
      <c r="D38" s="99" t="s">
        <v>41</v>
      </c>
      <c r="E38" s="99" t="s">
        <v>78</v>
      </c>
      <c r="F38" s="34"/>
    </row>
    <row r="39" spans="2:9" ht="15.75" customHeight="1" x14ac:dyDescent="0.25">
      <c r="B39" s="101" t="s">
        <v>32</v>
      </c>
      <c r="C39" s="80">
        <f>STDEV(H20,H21,H22,H23,H24,H25)</f>
        <v>0.33972501806522942</v>
      </c>
      <c r="D39" s="100">
        <f>AVERAGE(H20:H25)</f>
        <v>0.38130100563831393</v>
      </c>
      <c r="E39" s="50">
        <f>C39/D39*100%</f>
        <v>0.89096281688666268</v>
      </c>
      <c r="F39" s="78"/>
    </row>
    <row r="40" spans="2:9" x14ac:dyDescent="0.25">
      <c r="B40" s="102" t="s">
        <v>40</v>
      </c>
      <c r="C40" s="103">
        <f>STDEV(H12,H13,H14,H15,H16,H17)</f>
        <v>5.5175560308440202E-2</v>
      </c>
      <c r="D40" s="104">
        <f>AVERAGE(H12:H17)</f>
        <v>6.4069785766392162E-4</v>
      </c>
      <c r="E40" s="51">
        <f>C40/D40*100%</f>
        <v>86.117909789207644</v>
      </c>
      <c r="F40" s="75"/>
      <c r="G40" s="75"/>
    </row>
    <row r="41" spans="2:9" x14ac:dyDescent="0.25">
      <c r="G41" s="75"/>
    </row>
    <row r="43" spans="2:9" x14ac:dyDescent="0.25">
      <c r="F43" s="79"/>
    </row>
    <row r="44" spans="2:9" x14ac:dyDescent="0.25">
      <c r="F44" s="80"/>
    </row>
  </sheetData>
  <mergeCells count="3">
    <mergeCell ref="A12:A17"/>
    <mergeCell ref="A20:A25"/>
    <mergeCell ref="A6:A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CD405-10DD-4474-8B7F-1F8E3E21D31F}">
  <dimension ref="A1:U112"/>
  <sheetViews>
    <sheetView showGridLines="0" tabSelected="1" topLeftCell="A4" zoomScale="80" zoomScaleNormal="80" workbookViewId="0">
      <selection activeCell="T6" sqref="T6"/>
    </sheetView>
  </sheetViews>
  <sheetFormatPr defaultRowHeight="15" x14ac:dyDescent="0.25"/>
  <cols>
    <col min="1" max="2" width="17.140625" customWidth="1"/>
    <col min="5" max="6" width="22.7109375" customWidth="1"/>
  </cols>
  <sheetData>
    <row r="1" spans="1:21" x14ac:dyDescent="0.25">
      <c r="D1" s="87"/>
      <c r="E1" s="95" t="s">
        <v>80</v>
      </c>
      <c r="F1" s="95" t="s">
        <v>81</v>
      </c>
      <c r="G1" s="26"/>
    </row>
    <row r="2" spans="1:21" x14ac:dyDescent="0.25">
      <c r="D2" s="109" t="s">
        <v>87</v>
      </c>
      <c r="E2" s="110">
        <f>'Sfera cyfrowa i finansowa'!H12</f>
        <v>5.6307898688850333E-2</v>
      </c>
      <c r="F2" s="110">
        <f>'Sfera cyfrowa i finansowa'!H20</f>
        <v>0.93089329744918936</v>
      </c>
      <c r="G2" s="111" t="s">
        <v>91</v>
      </c>
    </row>
    <row r="3" spans="1:21" x14ac:dyDescent="0.25">
      <c r="D3" s="108" t="s">
        <v>88</v>
      </c>
      <c r="E3" s="110">
        <f>'Sfera cyfrowa i finansowa'!H13</f>
        <v>5.4340889904764711E-2</v>
      </c>
      <c r="F3" s="110">
        <f>'Sfera cyfrowa i finansowa'!H21</f>
        <v>0.62743504505487402</v>
      </c>
      <c r="G3" s="12" t="s">
        <v>92</v>
      </c>
    </row>
    <row r="4" spans="1:21" x14ac:dyDescent="0.25">
      <c r="D4" s="108" t="s">
        <v>89</v>
      </c>
      <c r="E4" s="110">
        <f>'Sfera cyfrowa i finansowa'!H14</f>
        <v>3.1403926705706936E-2</v>
      </c>
      <c r="F4" s="110">
        <f>'Sfera cyfrowa i finansowa'!H22</f>
        <v>0.32896151174175009</v>
      </c>
      <c r="G4" s="12" t="s">
        <v>93</v>
      </c>
    </row>
    <row r="5" spans="1:21" x14ac:dyDescent="0.25">
      <c r="D5" s="108" t="s">
        <v>90</v>
      </c>
      <c r="E5" s="110">
        <f>'Sfera cyfrowa i finansowa'!H15</f>
        <v>-1.1947503140844307E-2</v>
      </c>
      <c r="F5" s="110">
        <f>'Sfera cyfrowa i finansowa'!H23</f>
        <v>0.26882023207258626</v>
      </c>
      <c r="G5" s="12" t="s">
        <v>94</v>
      </c>
    </row>
    <row r="6" spans="1:21" ht="30" x14ac:dyDescent="0.25">
      <c r="D6" s="113" t="s">
        <v>97</v>
      </c>
      <c r="E6" s="110">
        <f>'Sfera cyfrowa i finansowa'!H16</f>
        <v>-6.2501701571158419E-2</v>
      </c>
      <c r="F6" s="110">
        <f>'Sfera cyfrowa i finansowa'!H24</f>
        <v>6.8947104968861472E-2</v>
      </c>
      <c r="G6" s="12" t="s">
        <v>95</v>
      </c>
    </row>
    <row r="7" spans="1:21" ht="30" x14ac:dyDescent="0.25">
      <c r="D7" s="114" t="s">
        <v>98</v>
      </c>
      <c r="E7" s="110">
        <f>'Sfera cyfrowa i finansowa'!H17</f>
        <v>-6.3759323441335725E-2</v>
      </c>
      <c r="F7" s="110">
        <f>'Sfera cyfrowa i finansowa'!H25</f>
        <v>6.2748842542622307E-2</v>
      </c>
      <c r="G7" s="112" t="s">
        <v>96</v>
      </c>
    </row>
    <row r="8" spans="1:21" x14ac:dyDescent="0.25">
      <c r="D8" s="28"/>
      <c r="E8" s="29" t="s">
        <v>41</v>
      </c>
      <c r="F8" s="29" t="s">
        <v>42</v>
      </c>
      <c r="G8" s="28"/>
    </row>
    <row r="10" spans="1:21" x14ac:dyDescent="0.25">
      <c r="A10" s="27"/>
      <c r="B10" s="27" t="s">
        <v>82</v>
      </c>
      <c r="C10" s="27"/>
      <c r="D10" s="27"/>
      <c r="E10" s="27"/>
      <c r="F10" s="27"/>
      <c r="G10" s="27"/>
      <c r="H10" s="27"/>
      <c r="I10" s="27"/>
      <c r="J10" s="27"/>
      <c r="K10" s="27"/>
      <c r="M10" s="27"/>
      <c r="N10" s="27" t="s">
        <v>83</v>
      </c>
      <c r="O10" s="27"/>
      <c r="P10" s="27"/>
      <c r="Q10" s="27"/>
      <c r="R10" s="27"/>
      <c r="S10" s="27"/>
      <c r="T10" s="27"/>
      <c r="U10" s="27"/>
    </row>
    <row r="29" spans="1:2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</row>
    <row r="31" spans="1:21" x14ac:dyDescent="0.25">
      <c r="A31" t="s">
        <v>43</v>
      </c>
      <c r="E31" s="24"/>
      <c r="F31" s="25"/>
    </row>
    <row r="32" spans="1:21" ht="15.75" thickBot="1" x14ac:dyDescent="0.3">
      <c r="G32" s="97"/>
    </row>
    <row r="33" spans="1:9" x14ac:dyDescent="0.25">
      <c r="A33" s="91" t="s">
        <v>44</v>
      </c>
      <c r="B33" s="91"/>
    </row>
    <row r="34" spans="1:9" x14ac:dyDescent="0.25">
      <c r="A34" s="88" t="s">
        <v>45</v>
      </c>
      <c r="B34" s="88">
        <v>0.89471543924412156</v>
      </c>
    </row>
    <row r="35" spans="1:9" x14ac:dyDescent="0.25">
      <c r="A35" s="88" t="s">
        <v>46</v>
      </c>
      <c r="B35" s="88">
        <v>0.80051571722180137</v>
      </c>
      <c r="G35" s="4"/>
    </row>
    <row r="36" spans="1:9" x14ac:dyDescent="0.25">
      <c r="A36" s="88" t="s">
        <v>47</v>
      </c>
      <c r="B36" s="88">
        <v>0.7506446465272516</v>
      </c>
    </row>
    <row r="37" spans="1:9" x14ac:dyDescent="0.25">
      <c r="A37" s="88" t="s">
        <v>48</v>
      </c>
      <c r="B37" s="88">
        <v>0.16964336511794786</v>
      </c>
    </row>
    <row r="38" spans="1:9" ht="15.75" thickBot="1" x14ac:dyDescent="0.3">
      <c r="A38" s="89" t="s">
        <v>49</v>
      </c>
      <c r="B38" s="89">
        <v>6</v>
      </c>
    </row>
    <row r="40" spans="1:9" ht="15.75" thickBot="1" x14ac:dyDescent="0.3">
      <c r="A40" t="s">
        <v>50</v>
      </c>
    </row>
    <row r="41" spans="1:9" x14ac:dyDescent="0.25">
      <c r="A41" s="90"/>
      <c r="B41" s="90" t="s">
        <v>55</v>
      </c>
      <c r="C41" s="90" t="s">
        <v>56</v>
      </c>
      <c r="D41" s="90" t="s">
        <v>57</v>
      </c>
      <c r="E41" s="90" t="s">
        <v>58</v>
      </c>
      <c r="F41" s="90" t="s">
        <v>59</v>
      </c>
    </row>
    <row r="42" spans="1:9" x14ac:dyDescent="0.25">
      <c r="A42" s="88" t="s">
        <v>51</v>
      </c>
      <c r="B42" s="88">
        <v>1</v>
      </c>
      <c r="C42" s="88">
        <v>0.46194995418293705</v>
      </c>
      <c r="D42" s="88">
        <v>0.46194995418293705</v>
      </c>
      <c r="E42" s="88">
        <v>16.051705048098928</v>
      </c>
      <c r="F42" s="88">
        <v>1.604372691178118E-2</v>
      </c>
    </row>
    <row r="43" spans="1:9" x14ac:dyDescent="0.25">
      <c r="A43" s="88" t="s">
        <v>52</v>
      </c>
      <c r="B43" s="88">
        <v>4</v>
      </c>
      <c r="C43" s="88">
        <v>0.11511548531416549</v>
      </c>
      <c r="D43" s="88">
        <v>2.8778871328541372E-2</v>
      </c>
      <c r="E43" s="88"/>
      <c r="F43" s="88"/>
    </row>
    <row r="44" spans="1:9" ht="15.75" thickBot="1" x14ac:dyDescent="0.3">
      <c r="A44" s="89" t="s">
        <v>53</v>
      </c>
      <c r="B44" s="89">
        <v>5</v>
      </c>
      <c r="C44" s="89">
        <v>0.57706543949710254</v>
      </c>
      <c r="D44" s="89"/>
      <c r="E44" s="89"/>
      <c r="F44" s="89"/>
    </row>
    <row r="45" spans="1:9" ht="15.75" thickBot="1" x14ac:dyDescent="0.3"/>
    <row r="46" spans="1:9" x14ac:dyDescent="0.25">
      <c r="A46" s="90"/>
      <c r="B46" s="90" t="s">
        <v>60</v>
      </c>
      <c r="C46" s="90" t="s">
        <v>48</v>
      </c>
      <c r="D46" s="90" t="s">
        <v>61</v>
      </c>
      <c r="E46" s="90" t="s">
        <v>62</v>
      </c>
      <c r="F46" s="90" t="s">
        <v>63</v>
      </c>
      <c r="G46" s="90" t="s">
        <v>64</v>
      </c>
      <c r="H46" s="90" t="s">
        <v>65</v>
      </c>
      <c r="I46" s="90" t="s">
        <v>66</v>
      </c>
    </row>
    <row r="47" spans="1:9" x14ac:dyDescent="0.25">
      <c r="A47" s="88" t="s">
        <v>54</v>
      </c>
      <c r="B47" s="88">
        <v>0.37777145853824551</v>
      </c>
      <c r="C47" s="88">
        <v>6.9262216634791415E-2</v>
      </c>
      <c r="D47" s="88">
        <v>5.4542213185317756</v>
      </c>
      <c r="E47" s="88">
        <v>5.4911504549978408E-3</v>
      </c>
      <c r="F47" s="88">
        <v>0.18546871618742969</v>
      </c>
      <c r="G47" s="88">
        <v>0.57007420088906136</v>
      </c>
      <c r="H47" s="88">
        <v>0.18546871618742969</v>
      </c>
      <c r="I47" s="88">
        <v>0.57007420088906136</v>
      </c>
    </row>
    <row r="48" spans="1:9" ht="15.75" thickBot="1" x14ac:dyDescent="0.3">
      <c r="A48" s="92" t="s">
        <v>40</v>
      </c>
      <c r="B48" s="89">
        <v>5.508910413619355</v>
      </c>
      <c r="C48" s="89">
        <v>1.375007681716361</v>
      </c>
      <c r="D48" s="96">
        <v>4.0064579179243802</v>
      </c>
      <c r="E48" s="89">
        <v>1.6043726911781186E-2</v>
      </c>
      <c r="F48" s="89">
        <v>1.691277066108599</v>
      </c>
      <c r="G48" s="89">
        <v>9.326543761130111</v>
      </c>
      <c r="H48" s="89">
        <v>1.691277066108599</v>
      </c>
      <c r="I48" s="89">
        <v>9.326543761130111</v>
      </c>
    </row>
    <row r="50" spans="1:3" x14ac:dyDescent="0.25">
      <c r="A50" s="95" t="s">
        <v>72</v>
      </c>
      <c r="B50" s="94">
        <f>TINV(0.95,B43)</f>
        <v>6.6728494700757035E-2</v>
      </c>
    </row>
    <row r="52" spans="1:3" x14ac:dyDescent="0.25">
      <c r="A52" t="s">
        <v>67</v>
      </c>
    </row>
    <row r="53" spans="1:3" ht="15.75" thickBot="1" x14ac:dyDescent="0.3"/>
    <row r="54" spans="1:3" x14ac:dyDescent="0.25">
      <c r="A54" s="90" t="s">
        <v>68</v>
      </c>
      <c r="B54" s="90" t="s">
        <v>69</v>
      </c>
      <c r="C54" s="90" t="s">
        <v>70</v>
      </c>
    </row>
    <row r="55" spans="1:3" x14ac:dyDescent="0.25">
      <c r="A55" s="88">
        <v>1</v>
      </c>
      <c r="B55" s="88">
        <v>0.68796662799427666</v>
      </c>
      <c r="C55" s="88">
        <v>0.2429266694549127</v>
      </c>
    </row>
    <row r="56" spans="1:3" x14ac:dyDescent="0.25">
      <c r="A56" s="88">
        <v>2</v>
      </c>
      <c r="B56" s="88">
        <v>0.67713055281994672</v>
      </c>
      <c r="C56" s="88">
        <v>-4.96955077650727E-2</v>
      </c>
    </row>
    <row r="57" spans="1:3" x14ac:dyDescent="0.25">
      <c r="A57" s="88">
        <v>3</v>
      </c>
      <c r="B57" s="88">
        <v>0.55077287739585334</v>
      </c>
      <c r="C57" s="88">
        <v>-0.22181136565410325</v>
      </c>
    </row>
    <row r="58" spans="1:3" x14ac:dyDescent="0.25">
      <c r="A58" s="88">
        <v>4</v>
      </c>
      <c r="B58" s="88">
        <v>0.31195373406889848</v>
      </c>
      <c r="C58" s="88">
        <v>-4.3133501996312218E-2</v>
      </c>
    </row>
    <row r="59" spans="1:3" x14ac:dyDescent="0.25">
      <c r="A59" s="88">
        <v>5</v>
      </c>
      <c r="B59" s="88">
        <v>3.3455183883961848E-2</v>
      </c>
      <c r="C59" s="88">
        <v>3.5491921084899625E-2</v>
      </c>
    </row>
    <row r="60" spans="1:3" ht="15.75" thickBot="1" x14ac:dyDescent="0.3">
      <c r="A60" s="89">
        <v>6</v>
      </c>
      <c r="B60" s="89">
        <v>2.6527057666946463E-2</v>
      </c>
      <c r="C60" s="89">
        <v>3.6221784875675844E-2</v>
      </c>
    </row>
    <row r="64" spans="1:3" x14ac:dyDescent="0.25">
      <c r="A64" t="s">
        <v>43</v>
      </c>
    </row>
    <row r="65" spans="1:9" ht="15.75" thickBot="1" x14ac:dyDescent="0.3"/>
    <row r="66" spans="1:9" x14ac:dyDescent="0.25">
      <c r="A66" s="91" t="s">
        <v>44</v>
      </c>
      <c r="B66" s="91"/>
    </row>
    <row r="67" spans="1:9" x14ac:dyDescent="0.25">
      <c r="A67" s="88" t="s">
        <v>45</v>
      </c>
      <c r="B67" s="88">
        <v>0.89471543924412156</v>
      </c>
    </row>
    <row r="68" spans="1:9" x14ac:dyDescent="0.25">
      <c r="A68" s="88" t="s">
        <v>46</v>
      </c>
      <c r="B68" s="88">
        <v>0.80051571722180137</v>
      </c>
    </row>
    <row r="69" spans="1:9" x14ac:dyDescent="0.25">
      <c r="A69" s="88" t="s">
        <v>47</v>
      </c>
      <c r="B69" s="88">
        <v>0.7506446465272516</v>
      </c>
    </row>
    <row r="70" spans="1:9" x14ac:dyDescent="0.25">
      <c r="A70" s="88" t="s">
        <v>48</v>
      </c>
      <c r="B70" s="88">
        <v>2.7552188462007403E-2</v>
      </c>
    </row>
    <row r="71" spans="1:9" ht="15.75" thickBot="1" x14ac:dyDescent="0.3">
      <c r="A71" s="89" t="s">
        <v>49</v>
      </c>
      <c r="B71" s="89">
        <v>6</v>
      </c>
    </row>
    <row r="73" spans="1:9" ht="15.75" thickBot="1" x14ac:dyDescent="0.3">
      <c r="A73" t="s">
        <v>50</v>
      </c>
    </row>
    <row r="74" spans="1:9" x14ac:dyDescent="0.25">
      <c r="A74" s="90"/>
      <c r="B74" s="90" t="s">
        <v>55</v>
      </c>
      <c r="C74" s="90" t="s">
        <v>56</v>
      </c>
      <c r="D74" s="90" t="s">
        <v>57</v>
      </c>
      <c r="E74" s="90" t="s">
        <v>58</v>
      </c>
      <c r="F74" s="90" t="s">
        <v>59</v>
      </c>
    </row>
    <row r="75" spans="1:9" x14ac:dyDescent="0.25">
      <c r="A75" s="88" t="s">
        <v>51</v>
      </c>
      <c r="B75" s="88">
        <v>1</v>
      </c>
      <c r="C75" s="88">
        <v>1.2185219920567713E-2</v>
      </c>
      <c r="D75" s="88">
        <v>1.2185219920567713E-2</v>
      </c>
      <c r="E75" s="88">
        <v>16.051705048098928</v>
      </c>
      <c r="F75" s="88">
        <v>1.604372691178118E-2</v>
      </c>
    </row>
    <row r="76" spans="1:9" x14ac:dyDescent="0.25">
      <c r="A76" s="88" t="s">
        <v>52</v>
      </c>
      <c r="B76" s="88">
        <v>4</v>
      </c>
      <c r="C76" s="88">
        <v>3.0364923561838958E-3</v>
      </c>
      <c r="D76" s="88">
        <v>7.5912308904597394E-4</v>
      </c>
      <c r="E76" s="88"/>
      <c r="F76" s="88"/>
    </row>
    <row r="77" spans="1:9" ht="15.75" thickBot="1" x14ac:dyDescent="0.3">
      <c r="A77" s="89" t="s">
        <v>53</v>
      </c>
      <c r="B77" s="89">
        <v>5</v>
      </c>
      <c r="C77" s="89">
        <v>1.522171227675161E-2</v>
      </c>
      <c r="D77" s="89"/>
      <c r="E77" s="89"/>
      <c r="F77" s="89"/>
    </row>
    <row r="78" spans="1:9" ht="15.75" thickBot="1" x14ac:dyDescent="0.3"/>
    <row r="79" spans="1:9" x14ac:dyDescent="0.25">
      <c r="A79" s="90"/>
      <c r="B79" s="90" t="s">
        <v>60</v>
      </c>
      <c r="C79" s="90" t="s">
        <v>48</v>
      </c>
      <c r="D79" s="90" t="s">
        <v>61</v>
      </c>
      <c r="E79" s="90" t="s">
        <v>62</v>
      </c>
      <c r="F79" s="90" t="s">
        <v>63</v>
      </c>
      <c r="G79" s="90" t="s">
        <v>64</v>
      </c>
      <c r="H79" s="90" t="s">
        <v>65</v>
      </c>
      <c r="I79" s="90" t="s">
        <v>66</v>
      </c>
    </row>
    <row r="80" spans="1:9" x14ac:dyDescent="0.25">
      <c r="A80" s="88" t="s">
        <v>54</v>
      </c>
      <c r="B80" s="88">
        <v>-5.4767254911240869E-2</v>
      </c>
      <c r="C80" s="88">
        <v>1.7826385614749977E-2</v>
      </c>
      <c r="D80" s="88">
        <v>-3.07225794924604</v>
      </c>
      <c r="E80" s="88">
        <v>3.7211011924484796E-2</v>
      </c>
      <c r="F80" s="88">
        <v>-0.10426123599468179</v>
      </c>
      <c r="G80" s="88">
        <v>-5.2732738277999416E-3</v>
      </c>
      <c r="H80" s="88">
        <v>-0.10426123599468179</v>
      </c>
      <c r="I80" s="88">
        <v>-5.2732738277999416E-3</v>
      </c>
    </row>
    <row r="81" spans="1:9" ht="15.75" thickBot="1" x14ac:dyDescent="0.3">
      <c r="A81" s="89" t="s">
        <v>32</v>
      </c>
      <c r="B81" s="89">
        <v>0.14531289440516831</v>
      </c>
      <c r="C81" s="89">
        <v>3.6269666968185829E-2</v>
      </c>
      <c r="D81" s="96">
        <v>4.0064579179243758</v>
      </c>
      <c r="E81" s="89">
        <v>1.6043726911781186E-2</v>
      </c>
      <c r="F81" s="89">
        <v>4.461215508419468E-2</v>
      </c>
      <c r="G81" s="89">
        <v>0.24601363372614193</v>
      </c>
      <c r="H81" s="89">
        <v>4.461215508419468E-2</v>
      </c>
      <c r="I81" s="89">
        <v>0.24601363372614193</v>
      </c>
    </row>
    <row r="83" spans="1:9" x14ac:dyDescent="0.25">
      <c r="A83" s="95" t="s">
        <v>72</v>
      </c>
      <c r="B83" s="94">
        <f>TINV(0.95,B76)</f>
        <v>6.6728494700757035E-2</v>
      </c>
    </row>
    <row r="85" spans="1:9" x14ac:dyDescent="0.25">
      <c r="A85" t="s">
        <v>67</v>
      </c>
    </row>
    <row r="86" spans="1:9" ht="15.75" thickBot="1" x14ac:dyDescent="0.3"/>
    <row r="87" spans="1:9" ht="45" x14ac:dyDescent="0.25">
      <c r="A87" s="90" t="s">
        <v>68</v>
      </c>
      <c r="B87" s="93" t="s">
        <v>71</v>
      </c>
      <c r="C87" s="90" t="s">
        <v>70</v>
      </c>
    </row>
    <row r="88" spans="1:9" x14ac:dyDescent="0.25">
      <c r="A88" s="88">
        <v>1</v>
      </c>
      <c r="B88" s="88">
        <v>8.0503544523472109E-2</v>
      </c>
      <c r="C88" s="88">
        <v>-2.4195645834621776E-2</v>
      </c>
    </row>
    <row r="89" spans="1:9" x14ac:dyDescent="0.25">
      <c r="A89" s="88">
        <v>2</v>
      </c>
      <c r="B89" s="88">
        <v>3.6407147536920058E-2</v>
      </c>
      <c r="C89" s="88">
        <v>1.7933742367844653E-2</v>
      </c>
    </row>
    <row r="90" spans="1:9" x14ac:dyDescent="0.25">
      <c r="A90" s="88">
        <v>3</v>
      </c>
      <c r="B90" s="88">
        <v>-6.9649054921473996E-3</v>
      </c>
      <c r="C90" s="88">
        <v>3.8368832197854336E-2</v>
      </c>
    </row>
    <row r="91" spans="1:9" x14ac:dyDescent="0.25">
      <c r="A91" s="88">
        <v>4</v>
      </c>
      <c r="B91" s="88">
        <v>-1.5704208914104303E-2</v>
      </c>
      <c r="C91" s="88">
        <v>3.7567057732600245E-3</v>
      </c>
    </row>
    <row r="92" spans="1:9" x14ac:dyDescent="0.25">
      <c r="A92" s="88">
        <v>5</v>
      </c>
      <c r="B92" s="88">
        <v>-4.4748351527358649E-2</v>
      </c>
      <c r="C92" s="88">
        <v>-1.7753350043799743E-2</v>
      </c>
    </row>
    <row r="93" spans="1:9" ht="15.75" thickBot="1" x14ac:dyDescent="0.3">
      <c r="A93" s="89">
        <v>6</v>
      </c>
      <c r="B93" s="89">
        <v>-4.5649038980798258E-2</v>
      </c>
      <c r="C93" s="89">
        <v>-1.8110284460537467E-2</v>
      </c>
    </row>
    <row r="96" spans="1:9" ht="15.75" thickBot="1" x14ac:dyDescent="0.3"/>
    <row r="97" spans="1:5" x14ac:dyDescent="0.25">
      <c r="A97" s="91" t="s">
        <v>80</v>
      </c>
      <c r="B97" s="91"/>
      <c r="D97" s="91" t="s">
        <v>81</v>
      </c>
      <c r="E97" s="91"/>
    </row>
    <row r="98" spans="1:5" x14ac:dyDescent="0.25">
      <c r="A98" s="88" t="s">
        <v>35</v>
      </c>
      <c r="B98" s="88">
        <v>6.4069785766392162E-4</v>
      </c>
      <c r="D98" s="88" t="s">
        <v>35</v>
      </c>
      <c r="E98" s="88">
        <v>0.38130100563831393</v>
      </c>
    </row>
    <row r="99" spans="1:5" x14ac:dyDescent="0.25">
      <c r="A99" s="88" t="s">
        <v>48</v>
      </c>
      <c r="B99" s="88">
        <v>2.2525328171306491E-2</v>
      </c>
      <c r="D99" s="88" t="s">
        <v>48</v>
      </c>
      <c r="E99" s="88">
        <v>0.1386921578529349</v>
      </c>
    </row>
    <row r="100" spans="1:5" x14ac:dyDescent="0.25">
      <c r="A100" s="88" t="s">
        <v>102</v>
      </c>
      <c r="B100" s="88">
        <v>9.7282117824313147E-3</v>
      </c>
      <c r="D100" s="88" t="s">
        <v>102</v>
      </c>
      <c r="E100" s="88">
        <v>0.29889087190716818</v>
      </c>
    </row>
    <row r="101" spans="1:5" x14ac:dyDescent="0.25">
      <c r="A101" s="88" t="s">
        <v>103</v>
      </c>
      <c r="B101" s="88">
        <v>5.5175560308440202E-2</v>
      </c>
      <c r="D101" s="88" t="s">
        <v>103</v>
      </c>
      <c r="E101" s="88">
        <v>0.33972501806522942</v>
      </c>
    </row>
    <row r="102" spans="1:5" x14ac:dyDescent="0.25">
      <c r="A102" s="88" t="s">
        <v>104</v>
      </c>
      <c r="B102" s="88">
        <v>3.0443424553503219E-3</v>
      </c>
      <c r="D102" s="88" t="s">
        <v>104</v>
      </c>
      <c r="E102" s="88">
        <v>0.11541308789942047</v>
      </c>
    </row>
    <row r="103" spans="1:5" x14ac:dyDescent="0.25">
      <c r="A103" s="88" t="s">
        <v>105</v>
      </c>
      <c r="B103" s="88">
        <v>-2.3273649035520108</v>
      </c>
      <c r="D103" s="88" t="s">
        <v>105</v>
      </c>
      <c r="E103" s="88">
        <v>-0.21236302661587469</v>
      </c>
    </row>
    <row r="104" spans="1:5" x14ac:dyDescent="0.25">
      <c r="A104" s="88" t="s">
        <v>106</v>
      </c>
      <c r="B104" s="88">
        <v>-0.29354378867930625</v>
      </c>
      <c r="D104" s="88" t="s">
        <v>106</v>
      </c>
      <c r="E104" s="88">
        <v>0.89176648632101119</v>
      </c>
    </row>
    <row r="105" spans="1:5" x14ac:dyDescent="0.25">
      <c r="A105" s="88" t="s">
        <v>107</v>
      </c>
      <c r="B105" s="88">
        <v>0.12006722213018606</v>
      </c>
      <c r="D105" s="88" t="s">
        <v>107</v>
      </c>
      <c r="E105" s="88">
        <v>0.86814445490656711</v>
      </c>
    </row>
    <row r="106" spans="1:5" x14ac:dyDescent="0.25">
      <c r="A106" s="88" t="s">
        <v>108</v>
      </c>
      <c r="B106" s="88">
        <v>-6.3759323441335725E-2</v>
      </c>
      <c r="D106" s="88" t="s">
        <v>108</v>
      </c>
      <c r="E106" s="88">
        <v>6.2748842542622307E-2</v>
      </c>
    </row>
    <row r="107" spans="1:5" x14ac:dyDescent="0.25">
      <c r="A107" s="88" t="s">
        <v>109</v>
      </c>
      <c r="B107" s="88">
        <v>5.6307898688850333E-2</v>
      </c>
      <c r="D107" s="88" t="s">
        <v>109</v>
      </c>
      <c r="E107" s="88">
        <v>0.93089329744918936</v>
      </c>
    </row>
    <row r="108" spans="1:5" x14ac:dyDescent="0.25">
      <c r="A108" s="88" t="s">
        <v>110</v>
      </c>
      <c r="B108" s="88">
        <v>3.8441871459835297E-3</v>
      </c>
      <c r="D108" s="88" t="s">
        <v>110</v>
      </c>
      <c r="E108" s="88">
        <v>2.2878060338298836</v>
      </c>
    </row>
    <row r="109" spans="1:5" x14ac:dyDescent="0.25">
      <c r="A109" s="88" t="s">
        <v>111</v>
      </c>
      <c r="B109" s="88">
        <v>6</v>
      </c>
      <c r="D109" s="88" t="s">
        <v>111</v>
      </c>
      <c r="E109" s="88">
        <v>6</v>
      </c>
    </row>
    <row r="110" spans="1:5" x14ac:dyDescent="0.25">
      <c r="A110" s="88" t="s">
        <v>99</v>
      </c>
      <c r="B110" s="88">
        <v>5.6307898688850333E-2</v>
      </c>
      <c r="D110" s="88" t="s">
        <v>99</v>
      </c>
      <c r="E110" s="88">
        <v>0.93089329744918936</v>
      </c>
    </row>
    <row r="111" spans="1:5" x14ac:dyDescent="0.25">
      <c r="A111" s="88" t="s">
        <v>100</v>
      </c>
      <c r="B111" s="88">
        <v>-6.3759323441335725E-2</v>
      </c>
      <c r="D111" s="88" t="s">
        <v>100</v>
      </c>
      <c r="E111" s="88">
        <v>6.2748842542622307E-2</v>
      </c>
    </row>
    <row r="112" spans="1:5" ht="15.75" thickBot="1" x14ac:dyDescent="0.3">
      <c r="A112" s="89" t="s">
        <v>101</v>
      </c>
      <c r="B112" s="89">
        <v>5.7903199438907441E-2</v>
      </c>
      <c r="D112" s="89" t="s">
        <v>101</v>
      </c>
      <c r="E112" s="89">
        <v>0.35651954172195899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7710-D83F-42BB-84EC-0ED3C2530DDD}">
  <dimension ref="A1:M5"/>
  <sheetViews>
    <sheetView workbookViewId="0">
      <selection activeCell="F8" sqref="F8"/>
    </sheetView>
  </sheetViews>
  <sheetFormatPr defaultRowHeight="15" x14ac:dyDescent="0.25"/>
  <cols>
    <col min="1" max="1" width="23.42578125" customWidth="1"/>
  </cols>
  <sheetData>
    <row r="1" spans="1:13" x14ac:dyDescent="0.25">
      <c r="B1">
        <v>2014</v>
      </c>
      <c r="C1">
        <v>2015</v>
      </c>
      <c r="D1">
        <v>2016</v>
      </c>
      <c r="E1">
        <v>2017</v>
      </c>
      <c r="F1">
        <v>2018</v>
      </c>
      <c r="G1" t="s">
        <v>6</v>
      </c>
      <c r="H1">
        <f>B1</f>
        <v>2014</v>
      </c>
      <c r="I1">
        <f>C1</f>
        <v>2015</v>
      </c>
      <c r="J1">
        <f>D1</f>
        <v>2016</v>
      </c>
      <c r="K1">
        <f t="shared" ref="K1:L1" si="0">E1</f>
        <v>2017</v>
      </c>
      <c r="L1">
        <f t="shared" si="0"/>
        <v>2018</v>
      </c>
    </row>
    <row r="2" spans="1:13" x14ac:dyDescent="0.25">
      <c r="A2" t="s">
        <v>15</v>
      </c>
      <c r="B2">
        <v>383</v>
      </c>
      <c r="C2">
        <v>495</v>
      </c>
      <c r="D2">
        <v>1020</v>
      </c>
      <c r="E2">
        <v>1304</v>
      </c>
      <c r="F2" s="1">
        <v>1655</v>
      </c>
      <c r="G2" s="2">
        <f>M2</f>
        <v>0.47515935268240117</v>
      </c>
      <c r="I2" s="4">
        <f>C2/B2-1</f>
        <v>0.29242819843342027</v>
      </c>
      <c r="J2" s="4">
        <f>D2/C2-1</f>
        <v>1.0606060606060606</v>
      </c>
      <c r="K2" s="4">
        <f>E2/D2-1</f>
        <v>0.27843137254901951</v>
      </c>
      <c r="L2" s="2">
        <f>F2/E2-1</f>
        <v>0.26917177914110435</v>
      </c>
      <c r="M2" s="5">
        <f>AVERAGE(I2:L2)</f>
        <v>0.47515935268240117</v>
      </c>
    </row>
    <row r="3" spans="1:13" x14ac:dyDescent="0.25">
      <c r="A3" t="s">
        <v>16</v>
      </c>
      <c r="B3">
        <v>1282</v>
      </c>
      <c r="C3">
        <v>1456</v>
      </c>
      <c r="D3">
        <v>1926</v>
      </c>
      <c r="E3">
        <v>3182</v>
      </c>
      <c r="F3" s="1">
        <v>3739</v>
      </c>
      <c r="G3" s="2">
        <f t="shared" ref="G3:G5" si="1">M3</f>
        <v>0.32142588281526868</v>
      </c>
      <c r="I3" s="4">
        <f t="shared" ref="I3:I5" si="2">C3/B3-1</f>
        <v>0.13572542901716078</v>
      </c>
      <c r="J3" s="4">
        <f t="shared" ref="J3:J5" si="3">D3/C3-1</f>
        <v>0.32280219780219777</v>
      </c>
      <c r="K3" s="4">
        <f t="shared" ref="K3:K5" si="4">E3/D3-1</f>
        <v>0.65212876427829691</v>
      </c>
      <c r="L3" s="2">
        <f t="shared" ref="L3:L5" si="5">F3/E3-1</f>
        <v>0.17504714016341927</v>
      </c>
      <c r="M3" s="5">
        <f t="shared" ref="M3:M5" si="6">AVERAGE(I3:L3)</f>
        <v>0.32142588281526868</v>
      </c>
    </row>
    <row r="4" spans="1:13" x14ac:dyDescent="0.25">
      <c r="A4" t="s">
        <v>17</v>
      </c>
      <c r="F4">
        <v>643</v>
      </c>
      <c r="G4" s="2" t="e">
        <f t="shared" si="1"/>
        <v>#DIV/0!</v>
      </c>
      <c r="I4" s="4" t="e">
        <f t="shared" si="2"/>
        <v>#DIV/0!</v>
      </c>
      <c r="J4" s="4" t="e">
        <f t="shared" si="3"/>
        <v>#DIV/0!</v>
      </c>
      <c r="K4" s="4" t="e">
        <f t="shared" si="4"/>
        <v>#DIV/0!</v>
      </c>
      <c r="L4" s="2" t="e">
        <f t="shared" si="5"/>
        <v>#DIV/0!</v>
      </c>
      <c r="M4" s="5" t="e">
        <f t="shared" si="6"/>
        <v>#DIV/0!</v>
      </c>
    </row>
    <row r="5" spans="1:13" x14ac:dyDescent="0.25">
      <c r="A5" t="s">
        <v>18</v>
      </c>
      <c r="B5">
        <v>613</v>
      </c>
      <c r="C5">
        <v>611</v>
      </c>
      <c r="D5">
        <v>1069</v>
      </c>
      <c r="E5">
        <v>1439</v>
      </c>
      <c r="F5" s="1">
        <v>1878</v>
      </c>
      <c r="G5" s="2">
        <f t="shared" si="1"/>
        <v>0.34937975661515064</v>
      </c>
      <c r="I5" s="4">
        <f t="shared" si="2"/>
        <v>-3.2626427406199365E-3</v>
      </c>
      <c r="J5" s="4">
        <f t="shared" si="3"/>
        <v>0.74959083469721777</v>
      </c>
      <c r="K5" s="4">
        <f t="shared" si="4"/>
        <v>0.34611786716557535</v>
      </c>
      <c r="L5" s="2">
        <f t="shared" si="5"/>
        <v>0.30507296733842937</v>
      </c>
      <c r="M5" s="5">
        <f t="shared" si="6"/>
        <v>0.34937975661515064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Bankier.pl</vt:lpstr>
      <vt:lpstr>Sfera cyfrowa i finansowa</vt:lpstr>
      <vt:lpstr>Regresja i wykresy</vt:lpstr>
      <vt:lpstr>CERT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2019-10-29T17:16:27Z</dcterms:created>
  <dcterms:modified xsi:type="dcterms:W3CDTF">2020-01-27T22:33:13Z</dcterms:modified>
</cp:coreProperties>
</file>